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60" windowHeight="5970" activeTab="0"/>
  </bookViews>
  <sheets>
    <sheet name="2015 (ЗОШ)" sheetId="1" r:id="rId1"/>
    <sheet name="2015 (ДНЗ)" sheetId="2" r:id="rId2"/>
  </sheets>
  <definedNames>
    <definedName name="_xlnm.Print_Area" localSheetId="1">'2015 (ДНЗ)'!$B$1:$AV$16</definedName>
    <definedName name="_xlnm.Print_Area" localSheetId="0">'2015 (ЗОШ)'!$A$1:$BA$31</definedName>
  </definedNames>
  <calcPr fullCalcOnLoad="1"/>
</workbook>
</file>

<file path=xl/sharedStrings.xml><?xml version="1.0" encoding="utf-8"?>
<sst xmlns="http://schemas.openxmlformats.org/spreadsheetml/2006/main" count="167" uniqueCount="79">
  <si>
    <t>№ п/п</t>
  </si>
  <si>
    <t>Маринівська ЗОШ І-ІІІ ст.</t>
  </si>
  <si>
    <t>РАЗОМ по ЗОШ</t>
  </si>
  <si>
    <t>Головний бухгалтер</t>
  </si>
  <si>
    <t>Начальник відділу освіти</t>
  </si>
  <si>
    <t>Богданівська ЗОШ І-ІІІ ст.</t>
  </si>
  <si>
    <t>Козубівська ЗОШ І-ІІІ ст.</t>
  </si>
  <si>
    <t>Кузнецівська ЗОШ І-ІІІ ст.</t>
  </si>
  <si>
    <t>Прибузька ЗОШ І-ІІІ ст.</t>
  </si>
  <si>
    <t>Сухобалківська ЗОШ І-ІІІ ст.</t>
  </si>
  <si>
    <t>Фрунзенська ЗОШ І-ІІІ ст.</t>
  </si>
  <si>
    <t>Жовтнева ЗОШ І-ІІ ст.</t>
  </si>
  <si>
    <t>Лідіївська ЗОШ І-ІІ ст.</t>
  </si>
  <si>
    <t>Маринівська ЗОШ І ст.</t>
  </si>
  <si>
    <t>С.М.Матвєєва</t>
  </si>
  <si>
    <t>Сума спонсорських коштів</t>
  </si>
  <si>
    <t>вартість одного дня РАЗОМ</t>
  </si>
  <si>
    <t>Кількість днів харчування</t>
  </si>
  <si>
    <t>22.</t>
  </si>
  <si>
    <r>
      <t xml:space="preserve">вартість одного дня </t>
    </r>
    <r>
      <rPr>
        <b/>
        <sz val="11"/>
        <rFont val="Arial Cyr"/>
        <family val="0"/>
      </rPr>
      <t>БЮДЖЕТ</t>
    </r>
  </si>
  <si>
    <r>
      <t xml:space="preserve">вартість одного дня </t>
    </r>
    <r>
      <rPr>
        <b/>
        <sz val="11"/>
        <rFont val="Arial Cyr"/>
        <family val="0"/>
      </rPr>
      <t>СПОНСОРИ</t>
    </r>
  </si>
  <si>
    <t>Сума бюджетних коштів (фактичні)</t>
  </si>
  <si>
    <t>Зеленоярська ЗОШ І-ІІ ст.</t>
  </si>
  <si>
    <t>Мостівський НВК</t>
  </si>
  <si>
    <t>Зеленогайська ЗОШ І ст.</t>
  </si>
  <si>
    <t>Новоолександрівський НВК</t>
  </si>
  <si>
    <t>Царедарівський НВК</t>
  </si>
  <si>
    <r>
      <t xml:space="preserve">вартість одного дня </t>
    </r>
    <r>
      <rPr>
        <b/>
        <sz val="11"/>
        <rFont val="Arial Cyr"/>
        <family val="0"/>
      </rPr>
      <t>БАТЬКІВСЬКІ</t>
    </r>
  </si>
  <si>
    <t>дітодні з урахув. пропусків, ДНЗ</t>
  </si>
  <si>
    <t>Кількість дітей, ДНЗ</t>
  </si>
  <si>
    <t>Кількість  пропусків, ДНЗ</t>
  </si>
  <si>
    <t>Доманівський РНВК</t>
  </si>
  <si>
    <t>Доманівська ЗОШ №2</t>
  </si>
  <si>
    <t>Олександрівська ЗОШ І ст.</t>
  </si>
  <si>
    <t>Мостівський ДНЗ</t>
  </si>
  <si>
    <t>Новоолександрівський ДНЗ</t>
  </si>
  <si>
    <t>Царедарівський ДНЗ</t>
  </si>
  <si>
    <t>23.</t>
  </si>
  <si>
    <t>24.</t>
  </si>
  <si>
    <t>С.М. Матвєєва</t>
  </si>
  <si>
    <t>РАЗОМ по ДНЗ</t>
  </si>
  <si>
    <t>за СІЧЕНЬ</t>
  </si>
  <si>
    <t>Дні харчування</t>
  </si>
  <si>
    <t>Пропуски, 1-4 кл.</t>
  </si>
  <si>
    <t>Пропуски, пільгова кат.</t>
  </si>
  <si>
    <t>Дітодні, 1-4 кл.</t>
  </si>
  <si>
    <t>Дітодні, пільгова кат.</t>
  </si>
  <si>
    <t>Діти, 1-4 кл.</t>
  </si>
  <si>
    <t>Діти, пільгова кат.</t>
  </si>
  <si>
    <t>Діти</t>
  </si>
  <si>
    <t>Дні</t>
  </si>
  <si>
    <t>Пропуски</t>
  </si>
  <si>
    <t>Діто-дні</t>
  </si>
  <si>
    <t>Вартість 1 діто-дня</t>
  </si>
  <si>
    <t>Видатки</t>
  </si>
  <si>
    <t>Сума бюджетних коштів (фактичні),      1-4 кл.</t>
  </si>
  <si>
    <t>Сума бюджетних коштів (фактичні), пільгова кат.</t>
  </si>
  <si>
    <t>Вартість одного дня, 1-4 кл.</t>
  </si>
  <si>
    <t>Вартість одного дня, пільгова кат.</t>
  </si>
  <si>
    <r>
      <t xml:space="preserve">вартість одного дня, </t>
    </r>
    <r>
      <rPr>
        <b/>
        <sz val="11"/>
        <rFont val="Arial Cyr"/>
        <family val="0"/>
      </rPr>
      <t>СПОНСОРИ</t>
    </r>
  </si>
  <si>
    <t>ЗОШ</t>
  </si>
  <si>
    <t>Сума батьківських коштів</t>
  </si>
  <si>
    <t>залишки продуктів на кінець звітного періоду (бюджет)</t>
  </si>
  <si>
    <t>залишки продуктів на кінець звітного періоду (спонсорські)</t>
  </si>
  <si>
    <t>залишки продуктів на кінець звітного періоду (батьківські)</t>
  </si>
  <si>
    <t>Залишки продуктів на кінець звітного періоду (спонсорські)</t>
  </si>
  <si>
    <t>Аналіз харчування за 2015 рік по дошкільній ланці відділу освіти Доманівського району</t>
  </si>
  <si>
    <t>залишки продуктів на початок звітного періоду (бюджет)</t>
  </si>
  <si>
    <t>залишки продуктів на початок звітного періоду (батьківські)</t>
  </si>
  <si>
    <t>залишки продуктів на початок звітного періоду (спонсорські)</t>
  </si>
  <si>
    <t>І.К.Святченко</t>
  </si>
  <si>
    <t>Аналіз харчування за 2015 рік по ЗОШ відділу освіти Доманівського району</t>
  </si>
  <si>
    <t>Залишки продуктів на початок звітного періоду (1-4 кл., пільгова кат.)</t>
  </si>
  <si>
    <t>Залишки продуктів на початок звітного періоду (спонсорські)</t>
  </si>
  <si>
    <t>Залишки продуктів на кінець звітного періоду (1-4 кл., пільгова кат.)</t>
  </si>
  <si>
    <t>Дошкільний підрозділ (ланка)</t>
  </si>
  <si>
    <t>за ЛЮТИЙ</t>
  </si>
  <si>
    <t>за БЕРЕЗЕНЬ</t>
  </si>
  <si>
    <t>Н.М.Бондаренко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</si>
</sst>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20"/>
      <name val="Arial Cyr"/>
      <family val="0"/>
    </font>
    <font>
      <i/>
      <sz val="11"/>
      <name val="Arial Cyr"/>
      <family val="0"/>
    </font>
    <font>
      <b/>
      <sz val="11"/>
      <color indexed="10"/>
      <name val="Arial Cyr"/>
      <family val="0"/>
    </font>
    <font>
      <b/>
      <sz val="22"/>
      <name val="Arial Cyr"/>
      <family val="0"/>
    </font>
    <font>
      <b/>
      <sz val="26"/>
      <name val="Arial Cyr"/>
      <family val="0"/>
    </font>
    <font>
      <b/>
      <sz val="36"/>
      <name val="Arial Cyr"/>
      <family val="0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8" fillId="33" borderId="11" xfId="0" applyNumberFormat="1" applyFont="1" applyFill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6" fillId="34" borderId="12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6" fillId="35" borderId="17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18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6" fillId="19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11" borderId="22" xfId="0" applyFont="1" applyFill="1" applyBorder="1" applyAlignment="1">
      <alignment horizontal="center" vertical="center" textRotation="90" wrapText="1"/>
    </xf>
    <xf numFmtId="0" fontId="5" fillId="11" borderId="23" xfId="0" applyFont="1" applyFill="1" applyBorder="1" applyAlignment="1">
      <alignment horizontal="center" vertical="center" textRotation="90" wrapText="1"/>
    </xf>
    <xf numFmtId="0" fontId="5" fillId="35" borderId="22" xfId="0" applyFont="1" applyFill="1" applyBorder="1" applyAlignment="1">
      <alignment horizontal="center" vertical="center" textRotation="90" wrapText="1"/>
    </xf>
    <xf numFmtId="0" fontId="5" fillId="35" borderId="23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25" xfId="0" applyFont="1" applyFill="1" applyBorder="1" applyAlignment="1">
      <alignment horizontal="center" vertical="center" textRotation="90" wrapText="1"/>
    </xf>
    <xf numFmtId="0" fontId="5" fillId="35" borderId="26" xfId="0" applyFont="1" applyFill="1" applyBorder="1" applyAlignment="1">
      <alignment horizontal="center" vertical="center" textRotation="90" wrapText="1"/>
    </xf>
    <xf numFmtId="0" fontId="6" fillId="35" borderId="27" xfId="0" applyFont="1" applyFill="1" applyBorder="1" applyAlignment="1">
      <alignment horizontal="center" vertical="center" textRotation="90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5" fillId="36" borderId="25" xfId="0" applyFont="1" applyFill="1" applyBorder="1" applyAlignment="1">
      <alignment horizontal="center" vertical="center" textRotation="90" wrapText="1"/>
    </xf>
    <xf numFmtId="0" fontId="5" fillId="36" borderId="26" xfId="0" applyFont="1" applyFill="1" applyBorder="1" applyAlignment="1">
      <alignment horizontal="center" vertical="center" textRotation="90" wrapText="1"/>
    </xf>
    <xf numFmtId="0" fontId="5" fillId="37" borderId="25" xfId="0" applyFont="1" applyFill="1" applyBorder="1" applyAlignment="1">
      <alignment horizontal="center" vertical="center" textRotation="90" wrapText="1"/>
    </xf>
    <xf numFmtId="0" fontId="5" fillId="37" borderId="26" xfId="0" applyFont="1" applyFill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 vertical="center" textRotation="90" wrapText="1"/>
    </xf>
    <xf numFmtId="0" fontId="5" fillId="34" borderId="23" xfId="0" applyFont="1" applyFill="1" applyBorder="1" applyAlignment="1">
      <alignment horizontal="center" vertical="center" textRotation="90" wrapText="1"/>
    </xf>
    <xf numFmtId="0" fontId="52" fillId="0" borderId="12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5" fillId="38" borderId="25" xfId="0" applyFont="1" applyFill="1" applyBorder="1" applyAlignment="1">
      <alignment horizontal="center" vertical="center" textRotation="90" wrapText="1"/>
    </xf>
    <xf numFmtId="0" fontId="5" fillId="38" borderId="26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39" borderId="24" xfId="0" applyFont="1" applyFill="1" applyBorder="1" applyAlignment="1">
      <alignment horizontal="center"/>
    </xf>
    <xf numFmtId="0" fontId="12" fillId="39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BA32"/>
  <sheetViews>
    <sheetView tabSelected="1" view="pageBreakPreview" zoomScale="70" zoomScaleSheetLayoutView="70" zoomScalePageLayoutView="0" workbookViewId="0" topLeftCell="B1">
      <selection activeCell="BC1" sqref="BC1:BF16384"/>
    </sheetView>
  </sheetViews>
  <sheetFormatPr defaultColWidth="9.00390625" defaultRowHeight="12.75"/>
  <cols>
    <col min="1" max="1" width="4.875" style="1" hidden="1" customWidth="1"/>
    <col min="2" max="2" width="5.375" style="1" customWidth="1"/>
    <col min="3" max="3" width="30.125" style="1" customWidth="1"/>
    <col min="4" max="4" width="10.375" style="1" hidden="1" customWidth="1"/>
    <col min="5" max="5" width="9.625" style="1" hidden="1" customWidth="1"/>
    <col min="6" max="6" width="5.75390625" style="1" hidden="1" customWidth="1"/>
    <col min="7" max="7" width="6.125" style="1" hidden="1" customWidth="1"/>
    <col min="8" max="8" width="7.375" style="1" hidden="1" customWidth="1"/>
    <col min="9" max="10" width="7.625" style="1" hidden="1" customWidth="1"/>
    <col min="11" max="11" width="7.875" style="1" hidden="1" customWidth="1"/>
    <col min="12" max="12" width="7.375" style="1" hidden="1" customWidth="1"/>
    <col min="13" max="13" width="11.875" style="1" hidden="1" customWidth="1"/>
    <col min="14" max="14" width="11.625" style="1" hidden="1" customWidth="1"/>
    <col min="15" max="15" width="10.75390625" style="1" hidden="1" customWidth="1"/>
    <col min="16" max="16" width="8.625" style="1" hidden="1" customWidth="1"/>
    <col min="17" max="17" width="9.375" style="1" hidden="1" customWidth="1"/>
    <col min="18" max="18" width="8.625" style="1" hidden="1" customWidth="1"/>
    <col min="19" max="19" width="9.875" style="1" hidden="1" customWidth="1"/>
    <col min="20" max="20" width="10.375" style="1" hidden="1" customWidth="1"/>
    <col min="21" max="21" width="9.625" style="1" hidden="1" customWidth="1"/>
    <col min="22" max="22" width="5.75390625" style="1" hidden="1" customWidth="1"/>
    <col min="23" max="23" width="6.125" style="1" hidden="1" customWidth="1"/>
    <col min="24" max="24" width="7.375" style="1" hidden="1" customWidth="1"/>
    <col min="25" max="26" width="7.625" style="1" hidden="1" customWidth="1"/>
    <col min="27" max="27" width="7.875" style="1" hidden="1" customWidth="1"/>
    <col min="28" max="28" width="7.375" style="1" hidden="1" customWidth="1"/>
    <col min="29" max="29" width="11.875" style="1" hidden="1" customWidth="1"/>
    <col min="30" max="30" width="11.625" style="1" hidden="1" customWidth="1"/>
    <col min="31" max="31" width="10.75390625" style="1" hidden="1" customWidth="1"/>
    <col min="32" max="32" width="8.625" style="1" hidden="1" customWidth="1"/>
    <col min="33" max="33" width="9.375" style="1" hidden="1" customWidth="1"/>
    <col min="34" max="34" width="8.625" style="1" hidden="1" customWidth="1"/>
    <col min="35" max="35" width="9.875" style="1" hidden="1" customWidth="1"/>
    <col min="36" max="36" width="10.375" style="1" customWidth="1"/>
    <col min="37" max="37" width="9.625" style="1" customWidth="1"/>
    <col min="38" max="38" width="5.75390625" style="1" customWidth="1"/>
    <col min="39" max="39" width="6.125" style="1" customWidth="1"/>
    <col min="40" max="40" width="7.375" style="1" customWidth="1"/>
    <col min="41" max="42" width="7.625" style="1" customWidth="1"/>
    <col min="43" max="43" width="7.875" style="1" customWidth="1"/>
    <col min="44" max="44" width="7.375" style="1" customWidth="1"/>
    <col min="45" max="45" width="11.875" style="1" customWidth="1"/>
    <col min="46" max="46" width="11.625" style="1" customWidth="1"/>
    <col min="47" max="47" width="10.75390625" style="1" customWidth="1"/>
    <col min="48" max="48" width="8.625" style="1" customWidth="1"/>
    <col min="49" max="49" width="9.375" style="1" customWidth="1"/>
    <col min="50" max="50" width="8.625" style="1" customWidth="1"/>
    <col min="51" max="51" width="9.875" style="1" customWidth="1"/>
    <col min="52" max="52" width="10.375" style="1" customWidth="1"/>
    <col min="53" max="53" width="9.625" style="1" customWidth="1"/>
    <col min="54" max="16384" width="9.125" style="1" customWidth="1"/>
  </cols>
  <sheetData>
    <row r="1" ht="12.75" customHeight="1"/>
    <row r="2" spans="2:53" s="7" customFormat="1" ht="30">
      <c r="B2" s="55" t="s">
        <v>71</v>
      </c>
      <c r="C2" s="50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</row>
    <row r="3" spans="2:3" s="7" customFormat="1" ht="21.75" customHeight="1" thickBot="1">
      <c r="B3" s="52"/>
      <c r="C3" s="38"/>
    </row>
    <row r="4" spans="2:53" s="7" customFormat="1" ht="21" customHeight="1" thickBot="1">
      <c r="B4" s="102"/>
      <c r="C4" s="103"/>
      <c r="D4" s="49"/>
      <c r="E4" s="49"/>
      <c r="F4" s="73" t="s">
        <v>41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3" t="s">
        <v>76</v>
      </c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73" t="s">
        <v>77</v>
      </c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5"/>
    </row>
    <row r="5" spans="2:53" s="2" customFormat="1" ht="15" customHeight="1" thickBot="1">
      <c r="B5" s="96" t="s">
        <v>0</v>
      </c>
      <c r="C5" s="99" t="s">
        <v>60</v>
      </c>
      <c r="D5" s="86" t="s">
        <v>72</v>
      </c>
      <c r="E5" s="89" t="s">
        <v>73</v>
      </c>
      <c r="F5" s="76" t="s">
        <v>49</v>
      </c>
      <c r="G5" s="77"/>
      <c r="H5" s="48" t="s">
        <v>50</v>
      </c>
      <c r="I5" s="78" t="s">
        <v>51</v>
      </c>
      <c r="J5" s="79"/>
      <c r="K5" s="80" t="s">
        <v>52</v>
      </c>
      <c r="L5" s="81"/>
      <c r="M5" s="82" t="s">
        <v>54</v>
      </c>
      <c r="N5" s="83"/>
      <c r="O5" s="83"/>
      <c r="P5" s="84" t="s">
        <v>53</v>
      </c>
      <c r="Q5" s="85"/>
      <c r="R5" s="85"/>
      <c r="S5" s="85"/>
      <c r="T5" s="86" t="s">
        <v>74</v>
      </c>
      <c r="U5" s="89" t="s">
        <v>65</v>
      </c>
      <c r="V5" s="76" t="s">
        <v>49</v>
      </c>
      <c r="W5" s="77"/>
      <c r="X5" s="48" t="s">
        <v>50</v>
      </c>
      <c r="Y5" s="78" t="s">
        <v>51</v>
      </c>
      <c r="Z5" s="79"/>
      <c r="AA5" s="80" t="s">
        <v>52</v>
      </c>
      <c r="AB5" s="81"/>
      <c r="AC5" s="82" t="s">
        <v>54</v>
      </c>
      <c r="AD5" s="83"/>
      <c r="AE5" s="83"/>
      <c r="AF5" s="84" t="s">
        <v>53</v>
      </c>
      <c r="AG5" s="85"/>
      <c r="AH5" s="85"/>
      <c r="AI5" s="85"/>
      <c r="AJ5" s="86" t="s">
        <v>74</v>
      </c>
      <c r="AK5" s="89" t="s">
        <v>65</v>
      </c>
      <c r="AL5" s="76" t="s">
        <v>49</v>
      </c>
      <c r="AM5" s="77"/>
      <c r="AN5" s="48" t="s">
        <v>50</v>
      </c>
      <c r="AO5" s="78" t="s">
        <v>51</v>
      </c>
      <c r="AP5" s="79"/>
      <c r="AQ5" s="80" t="s">
        <v>52</v>
      </c>
      <c r="AR5" s="81"/>
      <c r="AS5" s="82" t="s">
        <v>54</v>
      </c>
      <c r="AT5" s="83"/>
      <c r="AU5" s="83"/>
      <c r="AV5" s="84" t="s">
        <v>53</v>
      </c>
      <c r="AW5" s="85"/>
      <c r="AX5" s="85"/>
      <c r="AY5" s="85"/>
      <c r="AZ5" s="86" t="s">
        <v>74</v>
      </c>
      <c r="BA5" s="89" t="s">
        <v>65</v>
      </c>
    </row>
    <row r="6" spans="2:53" ht="12.75" customHeight="1">
      <c r="B6" s="97"/>
      <c r="C6" s="100"/>
      <c r="D6" s="87"/>
      <c r="E6" s="90"/>
      <c r="F6" s="92" t="s">
        <v>47</v>
      </c>
      <c r="G6" s="92" t="s">
        <v>48</v>
      </c>
      <c r="H6" s="67" t="s">
        <v>42</v>
      </c>
      <c r="I6" s="69" t="s">
        <v>43</v>
      </c>
      <c r="J6" s="69" t="s">
        <v>44</v>
      </c>
      <c r="K6" s="71" t="s">
        <v>45</v>
      </c>
      <c r="L6" s="71" t="s">
        <v>46</v>
      </c>
      <c r="M6" s="57" t="s">
        <v>55</v>
      </c>
      <c r="N6" s="57" t="s">
        <v>56</v>
      </c>
      <c r="O6" s="57" t="s">
        <v>15</v>
      </c>
      <c r="P6" s="59" t="s">
        <v>57</v>
      </c>
      <c r="Q6" s="61" t="s">
        <v>58</v>
      </c>
      <c r="R6" s="63" t="s">
        <v>59</v>
      </c>
      <c r="S6" s="65" t="s">
        <v>16</v>
      </c>
      <c r="T6" s="87"/>
      <c r="U6" s="90"/>
      <c r="V6" s="92" t="s">
        <v>47</v>
      </c>
      <c r="W6" s="92" t="s">
        <v>48</v>
      </c>
      <c r="X6" s="67" t="s">
        <v>42</v>
      </c>
      <c r="Y6" s="69" t="s">
        <v>43</v>
      </c>
      <c r="Z6" s="69" t="s">
        <v>44</v>
      </c>
      <c r="AA6" s="71" t="s">
        <v>45</v>
      </c>
      <c r="AB6" s="71" t="s">
        <v>46</v>
      </c>
      <c r="AC6" s="57" t="s">
        <v>55</v>
      </c>
      <c r="AD6" s="57" t="s">
        <v>56</v>
      </c>
      <c r="AE6" s="57" t="s">
        <v>15</v>
      </c>
      <c r="AF6" s="59" t="s">
        <v>57</v>
      </c>
      <c r="AG6" s="61" t="s">
        <v>58</v>
      </c>
      <c r="AH6" s="63" t="s">
        <v>59</v>
      </c>
      <c r="AI6" s="65" t="s">
        <v>16</v>
      </c>
      <c r="AJ6" s="87"/>
      <c r="AK6" s="90"/>
      <c r="AL6" s="92" t="s">
        <v>47</v>
      </c>
      <c r="AM6" s="92" t="s">
        <v>48</v>
      </c>
      <c r="AN6" s="67" t="s">
        <v>42</v>
      </c>
      <c r="AO6" s="69" t="s">
        <v>43</v>
      </c>
      <c r="AP6" s="69" t="s">
        <v>44</v>
      </c>
      <c r="AQ6" s="71" t="s">
        <v>45</v>
      </c>
      <c r="AR6" s="71" t="s">
        <v>46</v>
      </c>
      <c r="AS6" s="57" t="s">
        <v>55</v>
      </c>
      <c r="AT6" s="57" t="s">
        <v>56</v>
      </c>
      <c r="AU6" s="57" t="s">
        <v>15</v>
      </c>
      <c r="AV6" s="59" t="s">
        <v>57</v>
      </c>
      <c r="AW6" s="61" t="s">
        <v>58</v>
      </c>
      <c r="AX6" s="63" t="s">
        <v>59</v>
      </c>
      <c r="AY6" s="65" t="s">
        <v>16</v>
      </c>
      <c r="AZ6" s="87"/>
      <c r="BA6" s="90"/>
    </row>
    <row r="7" spans="2:53" ht="147" customHeight="1" thickBot="1">
      <c r="B7" s="98"/>
      <c r="C7" s="101"/>
      <c r="D7" s="88"/>
      <c r="E7" s="91"/>
      <c r="F7" s="93"/>
      <c r="G7" s="93"/>
      <c r="H7" s="68"/>
      <c r="I7" s="70"/>
      <c r="J7" s="70"/>
      <c r="K7" s="72"/>
      <c r="L7" s="72"/>
      <c r="M7" s="58"/>
      <c r="N7" s="58"/>
      <c r="O7" s="58"/>
      <c r="P7" s="60"/>
      <c r="Q7" s="62"/>
      <c r="R7" s="64"/>
      <c r="S7" s="66"/>
      <c r="T7" s="88"/>
      <c r="U7" s="91"/>
      <c r="V7" s="93"/>
      <c r="W7" s="93"/>
      <c r="X7" s="68"/>
      <c r="Y7" s="70"/>
      <c r="Z7" s="70"/>
      <c r="AA7" s="72"/>
      <c r="AB7" s="72"/>
      <c r="AC7" s="58"/>
      <c r="AD7" s="58"/>
      <c r="AE7" s="58"/>
      <c r="AF7" s="60"/>
      <c r="AG7" s="62"/>
      <c r="AH7" s="64"/>
      <c r="AI7" s="66"/>
      <c r="AJ7" s="88"/>
      <c r="AK7" s="91"/>
      <c r="AL7" s="93"/>
      <c r="AM7" s="93"/>
      <c r="AN7" s="68"/>
      <c r="AO7" s="70"/>
      <c r="AP7" s="70"/>
      <c r="AQ7" s="72"/>
      <c r="AR7" s="72"/>
      <c r="AS7" s="58"/>
      <c r="AT7" s="58"/>
      <c r="AU7" s="58"/>
      <c r="AV7" s="60"/>
      <c r="AW7" s="62"/>
      <c r="AX7" s="64"/>
      <c r="AY7" s="66"/>
      <c r="AZ7" s="88"/>
      <c r="BA7" s="91"/>
    </row>
    <row r="8" spans="2:53" s="18" customFormat="1" ht="15">
      <c r="B8" s="20">
        <v>1</v>
      </c>
      <c r="C8" s="31" t="s">
        <v>31</v>
      </c>
      <c r="D8" s="22">
        <v>3477.19</v>
      </c>
      <c r="E8" s="22">
        <v>0</v>
      </c>
      <c r="F8" s="8">
        <v>183</v>
      </c>
      <c r="G8" s="8">
        <v>43</v>
      </c>
      <c r="H8" s="25">
        <v>14</v>
      </c>
      <c r="I8" s="8">
        <v>402</v>
      </c>
      <c r="J8" s="8">
        <v>159</v>
      </c>
      <c r="K8" s="8">
        <f aca="true" t="shared" si="0" ref="K8:K25">+F8*H8-I8</f>
        <v>2160</v>
      </c>
      <c r="L8" s="8">
        <f aca="true" t="shared" si="1" ref="L8:L25">+G8*H8-J8</f>
        <v>443</v>
      </c>
      <c r="M8" s="22">
        <v>6402.337917787168</v>
      </c>
      <c r="N8" s="22">
        <v>1313.0720822128312</v>
      </c>
      <c r="O8" s="22">
        <v>768.15</v>
      </c>
      <c r="P8" s="36">
        <f>+M8/K8</f>
        <v>2.9640453323088742</v>
      </c>
      <c r="Q8" s="36">
        <f>+N8/L8</f>
        <v>2.9640453323088742</v>
      </c>
      <c r="R8" s="36">
        <f>+O8/(K8+L8)</f>
        <v>0.2951018056089128</v>
      </c>
      <c r="S8" s="36">
        <f>+(P8+Q8)/2+R8</f>
        <v>3.259147137917787</v>
      </c>
      <c r="T8" s="22">
        <v>1459.14</v>
      </c>
      <c r="U8" s="22">
        <v>13.65</v>
      </c>
      <c r="V8" s="8">
        <v>183</v>
      </c>
      <c r="W8" s="8">
        <v>43</v>
      </c>
      <c r="X8" s="25">
        <v>15</v>
      </c>
      <c r="Y8" s="8">
        <v>155</v>
      </c>
      <c r="Z8" s="8">
        <v>117</v>
      </c>
      <c r="AA8" s="8">
        <f aca="true" t="shared" si="2" ref="AA8:AA25">+V8*X8-Y8</f>
        <v>2590</v>
      </c>
      <c r="AB8" s="8">
        <f aca="true" t="shared" si="3" ref="AB8:AB25">+W8*X8-Z8</f>
        <v>528</v>
      </c>
      <c r="AC8" s="22">
        <v>13385.29</v>
      </c>
      <c r="AD8" s="22">
        <v>2731.93</v>
      </c>
      <c r="AE8" s="22">
        <v>662.4</v>
      </c>
      <c r="AF8" s="36">
        <f>+AC8/AA8</f>
        <v>5.168065637065637</v>
      </c>
      <c r="AG8" s="36">
        <f>+AD8/AB8</f>
        <v>5.174109848484848</v>
      </c>
      <c r="AH8" s="36">
        <f>+AE8/(AA8+AB8)</f>
        <v>0.21244387427838357</v>
      </c>
      <c r="AI8" s="36">
        <f>+(AF8+AG8)/2+AH8</f>
        <v>5.383531617053626</v>
      </c>
      <c r="AJ8" s="22">
        <v>1438.93</v>
      </c>
      <c r="AK8" s="22">
        <v>136.25</v>
      </c>
      <c r="AL8" s="8">
        <v>185</v>
      </c>
      <c r="AM8" s="8">
        <v>43</v>
      </c>
      <c r="AN8" s="25">
        <v>16</v>
      </c>
      <c r="AO8" s="8">
        <v>221</v>
      </c>
      <c r="AP8" s="8">
        <v>172</v>
      </c>
      <c r="AQ8" s="8">
        <f aca="true" t="shared" si="4" ref="AQ8:AQ25">+AL8*AN8-AO8</f>
        <v>2739</v>
      </c>
      <c r="AR8" s="8">
        <f aca="true" t="shared" si="5" ref="AR8:AR25">+AM8*AN8-AP8</f>
        <v>516</v>
      </c>
      <c r="AS8" s="22">
        <f>15226.8+30</f>
        <v>15256.8</v>
      </c>
      <c r="AT8" s="22">
        <f>2907.38-30</f>
        <v>2877.38</v>
      </c>
      <c r="AU8" s="22">
        <v>596.25</v>
      </c>
      <c r="AV8" s="36">
        <f>+AS8/AQ8</f>
        <v>5.570208105147864</v>
      </c>
      <c r="AW8" s="36">
        <f>+AT8/AR8</f>
        <v>5.5763178294573645</v>
      </c>
      <c r="AX8" s="36">
        <f>+AU8/(AQ8+AR8)</f>
        <v>0.18317972350230416</v>
      </c>
      <c r="AY8" s="36">
        <f>+(AV8+AW8)/2+AX8</f>
        <v>5.756442690804919</v>
      </c>
      <c r="AZ8" s="22">
        <v>4915.45</v>
      </c>
      <c r="BA8" s="22">
        <v>0</v>
      </c>
    </row>
    <row r="9" spans="2:53" s="18" customFormat="1" ht="15">
      <c r="B9" s="24">
        <v>2</v>
      </c>
      <c r="C9" s="32" t="s">
        <v>32</v>
      </c>
      <c r="D9" s="34">
        <v>532.57</v>
      </c>
      <c r="E9" s="26">
        <v>0</v>
      </c>
      <c r="F9" s="8">
        <v>12</v>
      </c>
      <c r="G9" s="8">
        <v>15</v>
      </c>
      <c r="H9" s="25">
        <v>10</v>
      </c>
      <c r="I9" s="25">
        <v>29</v>
      </c>
      <c r="J9" s="8">
        <v>76</v>
      </c>
      <c r="K9" s="8">
        <f t="shared" si="0"/>
        <v>91</v>
      </c>
      <c r="L9" s="8">
        <f t="shared" si="1"/>
        <v>74</v>
      </c>
      <c r="M9" s="22">
        <v>931.0513333333333</v>
      </c>
      <c r="N9" s="22">
        <v>757.1186666666667</v>
      </c>
      <c r="O9" s="33"/>
      <c r="P9" s="36">
        <f aca="true" t="shared" si="6" ref="P9:P25">+M9/K9</f>
        <v>10.231333333333334</v>
      </c>
      <c r="Q9" s="36">
        <f aca="true" t="shared" si="7" ref="Q9:Q25">+N9/L9</f>
        <v>10.231333333333334</v>
      </c>
      <c r="R9" s="36">
        <f aca="true" t="shared" si="8" ref="R9:R25">+O9/(K9+L9)</f>
        <v>0</v>
      </c>
      <c r="S9" s="36">
        <f aca="true" t="shared" si="9" ref="S9:S25">+(P9+Q9)/2+R9</f>
        <v>10.231333333333334</v>
      </c>
      <c r="T9" s="34">
        <v>2512.21</v>
      </c>
      <c r="U9" s="26">
        <v>0</v>
      </c>
      <c r="V9" s="8">
        <v>106</v>
      </c>
      <c r="W9" s="8">
        <v>17</v>
      </c>
      <c r="X9" s="25">
        <v>15</v>
      </c>
      <c r="Y9" s="25">
        <v>160</v>
      </c>
      <c r="Z9" s="8">
        <v>41</v>
      </c>
      <c r="AA9" s="8">
        <f t="shared" si="2"/>
        <v>1430</v>
      </c>
      <c r="AB9" s="8">
        <f t="shared" si="3"/>
        <v>214</v>
      </c>
      <c r="AC9" s="22">
        <f>5997.43-300</f>
        <v>5697.43</v>
      </c>
      <c r="AD9" s="22">
        <f>554.78+300</f>
        <v>854.78</v>
      </c>
      <c r="AE9" s="33">
        <v>0</v>
      </c>
      <c r="AF9" s="36">
        <f aca="true" t="shared" si="10" ref="AF9:AF25">+AC9/AA9</f>
        <v>3.9842167832167834</v>
      </c>
      <c r="AG9" s="36">
        <f aca="true" t="shared" si="11" ref="AG9:AG25">+AD9/AB9</f>
        <v>3.994299065420561</v>
      </c>
      <c r="AH9" s="36">
        <f aca="true" t="shared" si="12" ref="AH9:AH25">+AE9/(AA9+AB9)</f>
        <v>0</v>
      </c>
      <c r="AI9" s="36">
        <f aca="true" t="shared" si="13" ref="AI9:AI25">+(AF9+AG9)/2+AH9</f>
        <v>3.989257924318672</v>
      </c>
      <c r="AJ9" s="34">
        <v>1050.48</v>
      </c>
      <c r="AK9" s="26">
        <v>0</v>
      </c>
      <c r="AL9" s="8">
        <v>106</v>
      </c>
      <c r="AM9" s="8">
        <v>20</v>
      </c>
      <c r="AN9" s="25">
        <v>16</v>
      </c>
      <c r="AO9" s="25">
        <v>45</v>
      </c>
      <c r="AP9" s="8">
        <v>109</v>
      </c>
      <c r="AQ9" s="8">
        <f t="shared" si="4"/>
        <v>1651</v>
      </c>
      <c r="AR9" s="8">
        <f t="shared" si="5"/>
        <v>211</v>
      </c>
      <c r="AS9" s="22">
        <f>11093.26+95</f>
        <v>11188.26</v>
      </c>
      <c r="AT9" s="22">
        <f>1523.17-95</f>
        <v>1428.17</v>
      </c>
      <c r="AU9" s="33">
        <v>0</v>
      </c>
      <c r="AV9" s="36">
        <f aca="true" t="shared" si="14" ref="AV9:AV25">+AS9/AQ9</f>
        <v>6.776656571774682</v>
      </c>
      <c r="AW9" s="36">
        <f aca="true" t="shared" si="15" ref="AW9:AW25">+AT9/AR9</f>
        <v>6.768578199052133</v>
      </c>
      <c r="AX9" s="36">
        <f aca="true" t="shared" si="16" ref="AX9:AX25">+AU9/(AQ9+AR9)</f>
        <v>0</v>
      </c>
      <c r="AY9" s="36">
        <f aca="true" t="shared" si="17" ref="AY9:AY25">+(AV9+AW9)/2+AX9</f>
        <v>6.772617385413407</v>
      </c>
      <c r="AZ9" s="34">
        <v>1376.95</v>
      </c>
      <c r="BA9" s="26">
        <v>0</v>
      </c>
    </row>
    <row r="10" spans="2:53" s="18" customFormat="1" ht="15">
      <c r="B10" s="20">
        <v>3</v>
      </c>
      <c r="C10" s="32" t="s">
        <v>5</v>
      </c>
      <c r="D10" s="34">
        <v>6798.3</v>
      </c>
      <c r="E10" s="26">
        <v>655.1</v>
      </c>
      <c r="F10" s="8">
        <v>0</v>
      </c>
      <c r="G10" s="8">
        <v>13</v>
      </c>
      <c r="H10" s="25">
        <v>13</v>
      </c>
      <c r="I10" s="25">
        <v>0</v>
      </c>
      <c r="J10" s="8">
        <v>22</v>
      </c>
      <c r="K10" s="8">
        <f t="shared" si="0"/>
        <v>0</v>
      </c>
      <c r="L10" s="8">
        <f t="shared" si="1"/>
        <v>147</v>
      </c>
      <c r="M10" s="22">
        <v>0</v>
      </c>
      <c r="N10" s="22">
        <v>886.4700000000003</v>
      </c>
      <c r="O10" s="33">
        <v>262.26</v>
      </c>
      <c r="P10" s="36" t="e">
        <f t="shared" si="6"/>
        <v>#DIV/0!</v>
      </c>
      <c r="Q10" s="36">
        <f t="shared" si="7"/>
        <v>6.0304081632653075</v>
      </c>
      <c r="R10" s="36">
        <f t="shared" si="8"/>
        <v>1.784081632653061</v>
      </c>
      <c r="S10" s="36" t="e">
        <f t="shared" si="9"/>
        <v>#DIV/0!</v>
      </c>
      <c r="T10" s="34">
        <v>6139.38</v>
      </c>
      <c r="U10" s="26">
        <v>392.84</v>
      </c>
      <c r="V10" s="8">
        <v>63</v>
      </c>
      <c r="W10" s="8">
        <v>9</v>
      </c>
      <c r="X10" s="25">
        <v>20</v>
      </c>
      <c r="Y10" s="25">
        <v>130</v>
      </c>
      <c r="Z10" s="8">
        <v>12</v>
      </c>
      <c r="AA10" s="8">
        <f t="shared" si="2"/>
        <v>1130</v>
      </c>
      <c r="AB10" s="8">
        <f t="shared" si="3"/>
        <v>168</v>
      </c>
      <c r="AC10" s="22">
        <f>6748.62-6</f>
        <v>6742.62</v>
      </c>
      <c r="AD10" s="22">
        <f>994.78+6</f>
        <v>1000.78</v>
      </c>
      <c r="AE10" s="33">
        <v>104.84</v>
      </c>
      <c r="AF10" s="36">
        <f t="shared" si="10"/>
        <v>5.9669203539823</v>
      </c>
      <c r="AG10" s="36">
        <f t="shared" si="11"/>
        <v>5.957023809523809</v>
      </c>
      <c r="AH10" s="36">
        <f t="shared" si="12"/>
        <v>0.08077041602465332</v>
      </c>
      <c r="AI10" s="36">
        <f t="shared" si="13"/>
        <v>6.042742497777708</v>
      </c>
      <c r="AJ10" s="34">
        <v>1994.98</v>
      </c>
      <c r="AK10" s="26">
        <v>288</v>
      </c>
      <c r="AL10" s="8">
        <v>62</v>
      </c>
      <c r="AM10" s="8">
        <v>10</v>
      </c>
      <c r="AN10" s="25">
        <v>11</v>
      </c>
      <c r="AO10" s="25">
        <v>35</v>
      </c>
      <c r="AP10" s="8">
        <v>0</v>
      </c>
      <c r="AQ10" s="8">
        <f t="shared" si="4"/>
        <v>647</v>
      </c>
      <c r="AR10" s="8">
        <f t="shared" si="5"/>
        <v>110</v>
      </c>
      <c r="AS10" s="22">
        <f>3987.89+8</f>
        <v>3995.89</v>
      </c>
      <c r="AT10" s="22">
        <f>686.57-8</f>
        <v>678.57</v>
      </c>
      <c r="AU10" s="33">
        <v>144</v>
      </c>
      <c r="AV10" s="36">
        <f t="shared" si="14"/>
        <v>6.176027820710973</v>
      </c>
      <c r="AW10" s="36">
        <f t="shared" si="15"/>
        <v>6.168818181818183</v>
      </c>
      <c r="AX10" s="36">
        <f t="shared" si="16"/>
        <v>0.190224570673712</v>
      </c>
      <c r="AY10" s="36">
        <f t="shared" si="17"/>
        <v>6.36264757193829</v>
      </c>
      <c r="AZ10" s="34">
        <v>2737.52</v>
      </c>
      <c r="BA10" s="26">
        <v>144</v>
      </c>
    </row>
    <row r="11" spans="2:53" s="18" customFormat="1" ht="15">
      <c r="B11" s="24">
        <v>4</v>
      </c>
      <c r="C11" s="32" t="s">
        <v>6</v>
      </c>
      <c r="D11" s="34">
        <v>5491.59</v>
      </c>
      <c r="E11" s="26">
        <v>0</v>
      </c>
      <c r="F11" s="8">
        <v>3</v>
      </c>
      <c r="G11" s="8">
        <v>6</v>
      </c>
      <c r="H11" s="25">
        <v>10</v>
      </c>
      <c r="I11" s="25">
        <v>3</v>
      </c>
      <c r="J11" s="8">
        <v>6</v>
      </c>
      <c r="K11" s="8">
        <f t="shared" si="0"/>
        <v>27</v>
      </c>
      <c r="L11" s="8">
        <f t="shared" si="1"/>
        <v>54</v>
      </c>
      <c r="M11" s="22">
        <v>149.91333333333324</v>
      </c>
      <c r="N11" s="22">
        <v>299.8266666666665</v>
      </c>
      <c r="O11" s="33">
        <v>188.56</v>
      </c>
      <c r="P11" s="36">
        <f t="shared" si="6"/>
        <v>5.552345679012342</v>
      </c>
      <c r="Q11" s="36">
        <f t="shared" si="7"/>
        <v>5.552345679012342</v>
      </c>
      <c r="R11" s="36">
        <f t="shared" si="8"/>
        <v>2.3279012345679013</v>
      </c>
      <c r="S11" s="36">
        <f t="shared" si="9"/>
        <v>7.880246913580244</v>
      </c>
      <c r="T11" s="34">
        <v>5041.85</v>
      </c>
      <c r="U11" s="26">
        <v>0</v>
      </c>
      <c r="V11" s="8">
        <v>45</v>
      </c>
      <c r="W11" s="8">
        <v>6</v>
      </c>
      <c r="X11" s="25">
        <v>20</v>
      </c>
      <c r="Y11" s="25">
        <v>123</v>
      </c>
      <c r="Z11" s="8">
        <v>29</v>
      </c>
      <c r="AA11" s="8">
        <f t="shared" si="2"/>
        <v>777</v>
      </c>
      <c r="AB11" s="8">
        <f t="shared" si="3"/>
        <v>91</v>
      </c>
      <c r="AC11" s="22">
        <f>4626.52+18</f>
        <v>4644.52</v>
      </c>
      <c r="AD11" s="22">
        <f>561.59-18</f>
        <v>543.59</v>
      </c>
      <c r="AE11" s="33">
        <v>872.02</v>
      </c>
      <c r="AF11" s="36">
        <f t="shared" si="10"/>
        <v>5.977503217503218</v>
      </c>
      <c r="AG11" s="36">
        <f t="shared" si="11"/>
        <v>5.973516483516484</v>
      </c>
      <c r="AH11" s="36">
        <f t="shared" si="12"/>
        <v>1.00463133640553</v>
      </c>
      <c r="AI11" s="36">
        <f t="shared" si="13"/>
        <v>6.980141186915381</v>
      </c>
      <c r="AJ11" s="34">
        <v>2539.54</v>
      </c>
      <c r="AK11" s="26">
        <v>0</v>
      </c>
      <c r="AL11" s="8">
        <v>45</v>
      </c>
      <c r="AM11" s="8">
        <v>6</v>
      </c>
      <c r="AN11" s="25">
        <v>11</v>
      </c>
      <c r="AO11" s="25">
        <v>41</v>
      </c>
      <c r="AP11" s="8">
        <v>23</v>
      </c>
      <c r="AQ11" s="8">
        <f t="shared" si="4"/>
        <v>454</v>
      </c>
      <c r="AR11" s="8">
        <f t="shared" si="5"/>
        <v>43</v>
      </c>
      <c r="AS11" s="22">
        <f>3288.69+30</f>
        <v>3318.69</v>
      </c>
      <c r="AT11" s="22">
        <f>343.86-30</f>
        <v>313.86</v>
      </c>
      <c r="AU11" s="33">
        <v>542.25</v>
      </c>
      <c r="AV11" s="36">
        <f t="shared" si="14"/>
        <v>7.3098898678414095</v>
      </c>
      <c r="AW11" s="36">
        <f t="shared" si="15"/>
        <v>7.2990697674418605</v>
      </c>
      <c r="AX11" s="36">
        <f t="shared" si="16"/>
        <v>1.091046277665996</v>
      </c>
      <c r="AY11" s="36">
        <f t="shared" si="17"/>
        <v>8.39552609530763</v>
      </c>
      <c r="AZ11" s="34">
        <v>2213.99</v>
      </c>
      <c r="BA11" s="26">
        <v>0</v>
      </c>
    </row>
    <row r="12" spans="2:53" s="18" customFormat="1" ht="15">
      <c r="B12" s="20">
        <v>5</v>
      </c>
      <c r="C12" s="32" t="s">
        <v>7</v>
      </c>
      <c r="D12" s="34">
        <v>58.86</v>
      </c>
      <c r="E12" s="26">
        <v>0</v>
      </c>
      <c r="F12" s="8">
        <v>0</v>
      </c>
      <c r="G12" s="8">
        <v>11</v>
      </c>
      <c r="H12" s="25">
        <v>15</v>
      </c>
      <c r="I12" s="25">
        <v>0</v>
      </c>
      <c r="J12" s="8">
        <v>0</v>
      </c>
      <c r="K12" s="8">
        <f t="shared" si="0"/>
        <v>0</v>
      </c>
      <c r="L12" s="8">
        <f t="shared" si="1"/>
        <v>165</v>
      </c>
      <c r="M12" s="22">
        <v>0</v>
      </c>
      <c r="N12" s="22">
        <v>714.53</v>
      </c>
      <c r="O12" s="33">
        <v>499.45</v>
      </c>
      <c r="P12" s="36" t="e">
        <f t="shared" si="6"/>
        <v>#DIV/0!</v>
      </c>
      <c r="Q12" s="36">
        <f t="shared" si="7"/>
        <v>4.330484848484848</v>
      </c>
      <c r="R12" s="36">
        <f t="shared" si="8"/>
        <v>3.026969696969697</v>
      </c>
      <c r="S12" s="36" t="e">
        <f t="shared" si="9"/>
        <v>#DIV/0!</v>
      </c>
      <c r="T12" s="34">
        <v>166.58</v>
      </c>
      <c r="U12" s="26">
        <v>0</v>
      </c>
      <c r="V12" s="8">
        <v>44</v>
      </c>
      <c r="W12" s="8">
        <v>12</v>
      </c>
      <c r="X12" s="25">
        <v>20</v>
      </c>
      <c r="Y12" s="25">
        <v>0</v>
      </c>
      <c r="Z12" s="8">
        <v>0</v>
      </c>
      <c r="AA12" s="8">
        <f t="shared" si="2"/>
        <v>880</v>
      </c>
      <c r="AB12" s="8">
        <f t="shared" si="3"/>
        <v>240</v>
      </c>
      <c r="AC12" s="22">
        <f>3617.4-26</f>
        <v>3591.4</v>
      </c>
      <c r="AD12" s="22">
        <f>950.29+26</f>
        <v>976.29</v>
      </c>
      <c r="AE12" s="33">
        <f>2746.85+937.36</f>
        <v>3684.21</v>
      </c>
      <c r="AF12" s="36">
        <f t="shared" si="10"/>
        <v>4.081136363636364</v>
      </c>
      <c r="AG12" s="36">
        <f t="shared" si="11"/>
        <v>4.067875</v>
      </c>
      <c r="AH12" s="36">
        <f t="shared" si="12"/>
        <v>3.289473214285714</v>
      </c>
      <c r="AI12" s="36">
        <f t="shared" si="13"/>
        <v>7.363978896103896</v>
      </c>
      <c r="AJ12" s="34">
        <f>118.7+139.64</f>
        <v>258.34</v>
      </c>
      <c r="AK12" s="26">
        <v>0</v>
      </c>
      <c r="AL12" s="8">
        <v>46</v>
      </c>
      <c r="AM12" s="8">
        <v>10</v>
      </c>
      <c r="AN12" s="25">
        <v>11</v>
      </c>
      <c r="AO12" s="25">
        <v>0</v>
      </c>
      <c r="AP12" s="8">
        <v>0</v>
      </c>
      <c r="AQ12" s="8">
        <f t="shared" si="4"/>
        <v>506</v>
      </c>
      <c r="AR12" s="8">
        <f t="shared" si="5"/>
        <v>110</v>
      </c>
      <c r="AS12" s="22">
        <f>2394.09+39</f>
        <v>2433.09</v>
      </c>
      <c r="AT12" s="22">
        <f>568.88-39</f>
        <v>529.88</v>
      </c>
      <c r="AU12" s="33">
        <v>1143.94</v>
      </c>
      <c r="AV12" s="36">
        <f t="shared" si="14"/>
        <v>4.808478260869565</v>
      </c>
      <c r="AW12" s="36">
        <f t="shared" si="15"/>
        <v>4.817090909090909</v>
      </c>
      <c r="AX12" s="36">
        <f t="shared" si="16"/>
        <v>1.8570454545454547</v>
      </c>
      <c r="AY12" s="36">
        <f t="shared" si="17"/>
        <v>6.669830039525692</v>
      </c>
      <c r="AZ12" s="34">
        <v>364.07</v>
      </c>
      <c r="BA12" s="26">
        <v>0</v>
      </c>
    </row>
    <row r="13" spans="2:53" s="18" customFormat="1" ht="15">
      <c r="B13" s="24">
        <v>6</v>
      </c>
      <c r="C13" s="32" t="s">
        <v>1</v>
      </c>
      <c r="D13" s="34">
        <v>1549.93</v>
      </c>
      <c r="E13" s="26">
        <v>319.86</v>
      </c>
      <c r="F13" s="8">
        <v>13</v>
      </c>
      <c r="G13" s="8">
        <v>20</v>
      </c>
      <c r="H13" s="25">
        <v>10</v>
      </c>
      <c r="I13" s="25">
        <v>3</v>
      </c>
      <c r="J13" s="8">
        <v>5</v>
      </c>
      <c r="K13" s="8">
        <f t="shared" si="0"/>
        <v>127</v>
      </c>
      <c r="L13" s="8">
        <f t="shared" si="1"/>
        <v>195</v>
      </c>
      <c r="M13" s="22">
        <v>957.0041614906833</v>
      </c>
      <c r="N13" s="22">
        <v>1469.4158385093167</v>
      </c>
      <c r="O13" s="33">
        <v>100.77</v>
      </c>
      <c r="P13" s="36">
        <f t="shared" si="6"/>
        <v>7.535465838509317</v>
      </c>
      <c r="Q13" s="36">
        <f t="shared" si="7"/>
        <v>7.5354658385093165</v>
      </c>
      <c r="R13" s="36">
        <f t="shared" si="8"/>
        <v>0.3129503105590062</v>
      </c>
      <c r="S13" s="36">
        <f t="shared" si="9"/>
        <v>7.848416149068323</v>
      </c>
      <c r="T13" s="34">
        <v>2084.63</v>
      </c>
      <c r="U13" s="26">
        <v>331.88</v>
      </c>
      <c r="V13" s="8">
        <v>64</v>
      </c>
      <c r="W13" s="8">
        <v>23</v>
      </c>
      <c r="X13" s="25">
        <v>20</v>
      </c>
      <c r="Y13" s="25">
        <v>45</v>
      </c>
      <c r="Z13" s="8">
        <v>71</v>
      </c>
      <c r="AA13" s="8">
        <f t="shared" si="2"/>
        <v>1235</v>
      </c>
      <c r="AB13" s="8">
        <f t="shared" si="3"/>
        <v>389</v>
      </c>
      <c r="AC13" s="22">
        <f>5624.91-320</f>
        <v>5304.91</v>
      </c>
      <c r="AD13" s="22">
        <f>1352.78+320</f>
        <v>1672.78</v>
      </c>
      <c r="AE13" s="33">
        <v>699.63</v>
      </c>
      <c r="AF13" s="36">
        <f t="shared" si="10"/>
        <v>4.295473684210526</v>
      </c>
      <c r="AG13" s="36">
        <f t="shared" si="11"/>
        <v>4.300205655526992</v>
      </c>
      <c r="AH13" s="36">
        <f t="shared" si="12"/>
        <v>0.43080665024630543</v>
      </c>
      <c r="AI13" s="36">
        <f t="shared" si="13"/>
        <v>4.728646320115065</v>
      </c>
      <c r="AJ13" s="34">
        <v>2306.64</v>
      </c>
      <c r="AK13" s="26">
        <v>72.65</v>
      </c>
      <c r="AL13" s="8">
        <v>64</v>
      </c>
      <c r="AM13" s="8">
        <v>23</v>
      </c>
      <c r="AN13" s="25">
        <v>11</v>
      </c>
      <c r="AO13" s="25">
        <v>51</v>
      </c>
      <c r="AP13" s="8">
        <v>32</v>
      </c>
      <c r="AQ13" s="8">
        <f t="shared" si="4"/>
        <v>653</v>
      </c>
      <c r="AR13" s="8">
        <f t="shared" si="5"/>
        <v>221</v>
      </c>
      <c r="AS13" s="22">
        <f>2825.77-20</f>
        <v>2805.77</v>
      </c>
      <c r="AT13" s="22">
        <f>936.21+20</f>
        <v>956.21</v>
      </c>
      <c r="AU13" s="33">
        <v>143.95</v>
      </c>
      <c r="AV13" s="36">
        <f t="shared" si="14"/>
        <v>4.296738131699847</v>
      </c>
      <c r="AW13" s="36">
        <f t="shared" si="15"/>
        <v>4.326742081447964</v>
      </c>
      <c r="AX13" s="36">
        <f t="shared" si="16"/>
        <v>0.1647025171624714</v>
      </c>
      <c r="AY13" s="36">
        <f t="shared" si="17"/>
        <v>4.476442623736377</v>
      </c>
      <c r="AZ13" s="34">
        <v>2804.51</v>
      </c>
      <c r="BA13" s="26">
        <v>41.2</v>
      </c>
    </row>
    <row r="14" spans="2:53" s="18" customFormat="1" ht="15">
      <c r="B14" s="20">
        <v>7</v>
      </c>
      <c r="C14" s="32" t="s">
        <v>23</v>
      </c>
      <c r="D14" s="34">
        <v>0</v>
      </c>
      <c r="E14" s="26">
        <v>0</v>
      </c>
      <c r="F14" s="8">
        <v>0</v>
      </c>
      <c r="G14" s="8">
        <v>25</v>
      </c>
      <c r="H14" s="25">
        <v>15</v>
      </c>
      <c r="I14" s="25">
        <v>0</v>
      </c>
      <c r="J14" s="8">
        <v>0</v>
      </c>
      <c r="K14" s="8">
        <f t="shared" si="0"/>
        <v>0</v>
      </c>
      <c r="L14" s="8">
        <f t="shared" si="1"/>
        <v>375</v>
      </c>
      <c r="M14" s="22">
        <v>0</v>
      </c>
      <c r="N14" s="22">
        <v>1953.92</v>
      </c>
      <c r="O14" s="33">
        <v>518.1</v>
      </c>
      <c r="P14" s="36" t="e">
        <f t="shared" si="6"/>
        <v>#DIV/0!</v>
      </c>
      <c r="Q14" s="36">
        <f t="shared" si="7"/>
        <v>5.210453333333334</v>
      </c>
      <c r="R14" s="36">
        <f t="shared" si="8"/>
        <v>1.3816000000000002</v>
      </c>
      <c r="S14" s="36" t="e">
        <f t="shared" si="9"/>
        <v>#DIV/0!</v>
      </c>
      <c r="T14" s="34">
        <v>87.75</v>
      </c>
      <c r="U14" s="26">
        <v>0</v>
      </c>
      <c r="V14" s="8">
        <v>82</v>
      </c>
      <c r="W14" s="8">
        <v>29</v>
      </c>
      <c r="X14" s="25">
        <v>20</v>
      </c>
      <c r="Y14" s="25">
        <v>20</v>
      </c>
      <c r="Z14" s="8">
        <v>0</v>
      </c>
      <c r="AA14" s="8">
        <f t="shared" si="2"/>
        <v>1620</v>
      </c>
      <c r="AB14" s="8">
        <f t="shared" si="3"/>
        <v>580</v>
      </c>
      <c r="AC14" s="22">
        <f>7069.03-240</f>
        <v>6829.03</v>
      </c>
      <c r="AD14" s="22">
        <f>2213.31+240</f>
        <v>2453.31</v>
      </c>
      <c r="AE14" s="33">
        <v>1772.25</v>
      </c>
      <c r="AF14" s="36">
        <f t="shared" si="10"/>
        <v>4.215450617283951</v>
      </c>
      <c r="AG14" s="36">
        <f t="shared" si="11"/>
        <v>4.229844827586207</v>
      </c>
      <c r="AH14" s="36">
        <f t="shared" si="12"/>
        <v>0.8055681818181818</v>
      </c>
      <c r="AI14" s="36">
        <f t="shared" si="13"/>
        <v>5.028215904253261</v>
      </c>
      <c r="AJ14" s="34">
        <v>62.81</v>
      </c>
      <c r="AK14" s="26">
        <v>0</v>
      </c>
      <c r="AL14" s="8">
        <v>81</v>
      </c>
      <c r="AM14" s="8">
        <v>32</v>
      </c>
      <c r="AN14" s="25">
        <v>16</v>
      </c>
      <c r="AO14" s="25">
        <v>0</v>
      </c>
      <c r="AP14" s="8">
        <v>0</v>
      </c>
      <c r="AQ14" s="8">
        <f t="shared" si="4"/>
        <v>1296</v>
      </c>
      <c r="AR14" s="8">
        <f t="shared" si="5"/>
        <v>512</v>
      </c>
      <c r="AS14" s="22">
        <v>5570.58</v>
      </c>
      <c r="AT14" s="22">
        <v>2191.58</v>
      </c>
      <c r="AU14" s="33">
        <v>1990</v>
      </c>
      <c r="AV14" s="36">
        <f t="shared" si="14"/>
        <v>4.298287037037037</v>
      </c>
      <c r="AW14" s="36">
        <f t="shared" si="15"/>
        <v>4.2804296875</v>
      </c>
      <c r="AX14" s="36">
        <f t="shared" si="16"/>
        <v>1.1006637168141593</v>
      </c>
      <c r="AY14" s="36">
        <f t="shared" si="17"/>
        <v>5.390022079082677</v>
      </c>
      <c r="AZ14" s="34">
        <v>0</v>
      </c>
      <c r="BA14" s="26">
        <v>0</v>
      </c>
    </row>
    <row r="15" spans="2:53" s="18" customFormat="1" ht="15">
      <c r="B15" s="24">
        <v>8</v>
      </c>
      <c r="C15" s="32" t="s">
        <v>8</v>
      </c>
      <c r="D15" s="34">
        <v>1079.87</v>
      </c>
      <c r="E15" s="26">
        <v>1202.82</v>
      </c>
      <c r="F15" s="8">
        <v>24</v>
      </c>
      <c r="G15" s="8">
        <v>25</v>
      </c>
      <c r="H15" s="25">
        <v>10</v>
      </c>
      <c r="I15" s="25">
        <v>10</v>
      </c>
      <c r="J15" s="8">
        <v>38</v>
      </c>
      <c r="K15" s="8">
        <f t="shared" si="0"/>
        <v>230</v>
      </c>
      <c r="L15" s="8">
        <f t="shared" si="1"/>
        <v>212</v>
      </c>
      <c r="M15" s="22">
        <v>1259.931674208145</v>
      </c>
      <c r="N15" s="22">
        <v>1161.3283257918554</v>
      </c>
      <c r="O15" s="33">
        <v>470.35</v>
      </c>
      <c r="P15" s="36">
        <f t="shared" si="6"/>
        <v>5.477963800904979</v>
      </c>
      <c r="Q15" s="36">
        <f t="shared" si="7"/>
        <v>5.477963800904978</v>
      </c>
      <c r="R15" s="36">
        <f t="shared" si="8"/>
        <v>1.0641402714932127</v>
      </c>
      <c r="S15" s="36">
        <f t="shared" si="9"/>
        <v>6.542104072398192</v>
      </c>
      <c r="T15" s="34">
        <v>1472.11</v>
      </c>
      <c r="U15" s="26">
        <v>1049.47</v>
      </c>
      <c r="V15" s="8">
        <v>97</v>
      </c>
      <c r="W15" s="8">
        <v>25</v>
      </c>
      <c r="X15" s="25">
        <v>20</v>
      </c>
      <c r="Y15" s="25">
        <v>306</v>
      </c>
      <c r="Z15" s="8">
        <v>87</v>
      </c>
      <c r="AA15" s="8">
        <f t="shared" si="2"/>
        <v>1634</v>
      </c>
      <c r="AB15" s="8">
        <f t="shared" si="3"/>
        <v>413</v>
      </c>
      <c r="AC15" s="22">
        <f>8493.81-35</f>
        <v>8458.81</v>
      </c>
      <c r="AD15" s="22">
        <f>2109.1+35</f>
        <v>2144.1</v>
      </c>
      <c r="AE15" s="33">
        <v>1318.46</v>
      </c>
      <c r="AF15" s="36">
        <f t="shared" si="10"/>
        <v>5.176750305997552</v>
      </c>
      <c r="AG15" s="36">
        <f t="shared" si="11"/>
        <v>5.191525423728813</v>
      </c>
      <c r="AH15" s="36">
        <f t="shared" si="12"/>
        <v>0.6440937957987298</v>
      </c>
      <c r="AI15" s="36">
        <f t="shared" si="13"/>
        <v>5.8282316606619124</v>
      </c>
      <c r="AJ15" s="34">
        <v>1217.7</v>
      </c>
      <c r="AK15" s="26">
        <v>117.11</v>
      </c>
      <c r="AL15" s="8">
        <v>97</v>
      </c>
      <c r="AM15" s="8">
        <v>23</v>
      </c>
      <c r="AN15" s="25">
        <v>11</v>
      </c>
      <c r="AO15" s="25">
        <v>101</v>
      </c>
      <c r="AP15" s="8">
        <v>53</v>
      </c>
      <c r="AQ15" s="8">
        <f t="shared" si="4"/>
        <v>966</v>
      </c>
      <c r="AR15" s="8">
        <f t="shared" si="5"/>
        <v>200</v>
      </c>
      <c r="AS15" s="22">
        <f>4554.73-38</f>
        <v>4516.73</v>
      </c>
      <c r="AT15" s="22">
        <f>900.76+38</f>
        <v>938.76</v>
      </c>
      <c r="AU15" s="33">
        <v>1061.53</v>
      </c>
      <c r="AV15" s="36">
        <f t="shared" si="14"/>
        <v>4.675703933747411</v>
      </c>
      <c r="AW15" s="36">
        <f t="shared" si="15"/>
        <v>4.6937999999999995</v>
      </c>
      <c r="AX15" s="36">
        <f t="shared" si="16"/>
        <v>0.9104030874785591</v>
      </c>
      <c r="AY15" s="36">
        <f t="shared" si="17"/>
        <v>5.595155054352264</v>
      </c>
      <c r="AZ15" s="34">
        <v>1259.21</v>
      </c>
      <c r="BA15" s="26">
        <v>0</v>
      </c>
    </row>
    <row r="16" spans="2:53" s="18" customFormat="1" ht="15">
      <c r="B16" s="20">
        <v>9</v>
      </c>
      <c r="C16" s="32" t="s">
        <v>9</v>
      </c>
      <c r="D16" s="34">
        <v>79.15</v>
      </c>
      <c r="E16" s="26">
        <v>0</v>
      </c>
      <c r="F16" s="8">
        <v>0</v>
      </c>
      <c r="G16" s="8">
        <v>10</v>
      </c>
      <c r="H16" s="25">
        <v>12</v>
      </c>
      <c r="I16" s="25">
        <v>0</v>
      </c>
      <c r="J16" s="8">
        <v>0</v>
      </c>
      <c r="K16" s="8">
        <f t="shared" si="0"/>
        <v>0</v>
      </c>
      <c r="L16" s="8">
        <f t="shared" si="1"/>
        <v>120</v>
      </c>
      <c r="M16" s="22">
        <v>0</v>
      </c>
      <c r="N16" s="22">
        <v>807.1400000000001</v>
      </c>
      <c r="O16" s="33">
        <v>200</v>
      </c>
      <c r="P16" s="36" t="e">
        <f t="shared" si="6"/>
        <v>#DIV/0!</v>
      </c>
      <c r="Q16" s="36">
        <f t="shared" si="7"/>
        <v>6.726166666666668</v>
      </c>
      <c r="R16" s="36">
        <f t="shared" si="8"/>
        <v>1.6666666666666667</v>
      </c>
      <c r="S16" s="36" t="e">
        <f t="shared" si="9"/>
        <v>#DIV/0!</v>
      </c>
      <c r="T16" s="34">
        <v>629.99</v>
      </c>
      <c r="U16" s="26">
        <v>0</v>
      </c>
      <c r="V16" s="8">
        <v>37</v>
      </c>
      <c r="W16" s="8">
        <v>6</v>
      </c>
      <c r="X16" s="25">
        <v>20</v>
      </c>
      <c r="Y16" s="25">
        <v>60</v>
      </c>
      <c r="Z16" s="8">
        <v>0</v>
      </c>
      <c r="AA16" s="8">
        <f t="shared" si="2"/>
        <v>680</v>
      </c>
      <c r="AB16" s="8">
        <f t="shared" si="3"/>
        <v>120</v>
      </c>
      <c r="AC16" s="22">
        <f>3645.91-139</f>
        <v>3506.91</v>
      </c>
      <c r="AD16" s="22">
        <f>479.65+139</f>
        <v>618.65</v>
      </c>
      <c r="AE16" s="33">
        <v>1510.74</v>
      </c>
      <c r="AF16" s="36">
        <f t="shared" si="10"/>
        <v>5.157220588235294</v>
      </c>
      <c r="AG16" s="36">
        <f t="shared" si="11"/>
        <v>5.1554166666666665</v>
      </c>
      <c r="AH16" s="36">
        <f t="shared" si="12"/>
        <v>1.888425</v>
      </c>
      <c r="AI16" s="36">
        <f t="shared" si="13"/>
        <v>7.0447436274509805</v>
      </c>
      <c r="AJ16" s="34">
        <v>162.13</v>
      </c>
      <c r="AK16" s="26">
        <v>0</v>
      </c>
      <c r="AL16" s="8">
        <v>37</v>
      </c>
      <c r="AM16" s="8">
        <v>6</v>
      </c>
      <c r="AN16" s="25">
        <v>11</v>
      </c>
      <c r="AO16" s="25">
        <v>33</v>
      </c>
      <c r="AP16" s="8">
        <v>1</v>
      </c>
      <c r="AQ16" s="8">
        <f t="shared" si="4"/>
        <v>374</v>
      </c>
      <c r="AR16" s="8">
        <f t="shared" si="5"/>
        <v>65</v>
      </c>
      <c r="AS16" s="22">
        <f>1992.01-2</f>
        <v>1990.01</v>
      </c>
      <c r="AT16" s="22">
        <f>344.68+2</f>
        <v>346.68</v>
      </c>
      <c r="AU16" s="33">
        <v>480</v>
      </c>
      <c r="AV16" s="36">
        <f t="shared" si="14"/>
        <v>5.320882352941177</v>
      </c>
      <c r="AW16" s="36">
        <f t="shared" si="15"/>
        <v>5.333538461538462</v>
      </c>
      <c r="AX16" s="36">
        <f t="shared" si="16"/>
        <v>1.0933940774487472</v>
      </c>
      <c r="AY16" s="36">
        <f t="shared" si="17"/>
        <v>6.420604484688567</v>
      </c>
      <c r="AZ16" s="34">
        <v>860.8</v>
      </c>
      <c r="BA16" s="26">
        <v>0</v>
      </c>
    </row>
    <row r="17" spans="2:53" s="18" customFormat="1" ht="17.25" customHeight="1">
      <c r="B17" s="24">
        <v>10</v>
      </c>
      <c r="C17" s="32" t="s">
        <v>10</v>
      </c>
      <c r="D17" s="34">
        <v>511.39</v>
      </c>
      <c r="E17" s="26">
        <v>0</v>
      </c>
      <c r="F17" s="8">
        <v>0</v>
      </c>
      <c r="G17" s="8">
        <v>4</v>
      </c>
      <c r="H17" s="25">
        <v>14</v>
      </c>
      <c r="I17" s="25">
        <v>0</v>
      </c>
      <c r="J17" s="8">
        <v>13</v>
      </c>
      <c r="K17" s="8">
        <f t="shared" si="0"/>
        <v>0</v>
      </c>
      <c r="L17" s="8">
        <f t="shared" si="1"/>
        <v>43</v>
      </c>
      <c r="M17" s="22">
        <v>0</v>
      </c>
      <c r="N17" s="22">
        <v>231.1400000000001</v>
      </c>
      <c r="O17" s="33">
        <v>150</v>
      </c>
      <c r="P17" s="36" t="e">
        <f t="shared" si="6"/>
        <v>#DIV/0!</v>
      </c>
      <c r="Q17" s="36">
        <f t="shared" si="7"/>
        <v>5.375348837209304</v>
      </c>
      <c r="R17" s="36">
        <f t="shared" si="8"/>
        <v>3.488372093023256</v>
      </c>
      <c r="S17" s="36" t="e">
        <f t="shared" si="9"/>
        <v>#DIV/0!</v>
      </c>
      <c r="T17" s="34">
        <v>1059.85</v>
      </c>
      <c r="U17" s="26">
        <v>0</v>
      </c>
      <c r="V17" s="8">
        <v>17</v>
      </c>
      <c r="W17" s="8">
        <v>4</v>
      </c>
      <c r="X17" s="25">
        <v>20</v>
      </c>
      <c r="Y17" s="25">
        <v>52</v>
      </c>
      <c r="Z17" s="8">
        <v>3</v>
      </c>
      <c r="AA17" s="8">
        <f t="shared" si="2"/>
        <v>288</v>
      </c>
      <c r="AB17" s="8">
        <f t="shared" si="3"/>
        <v>77</v>
      </c>
      <c r="AC17" s="22">
        <f>1645.95+12</f>
        <v>1657.95</v>
      </c>
      <c r="AD17" s="22">
        <f>454.67-12</f>
        <v>442.67</v>
      </c>
      <c r="AE17" s="33">
        <v>465.5</v>
      </c>
      <c r="AF17" s="36">
        <f t="shared" si="10"/>
        <v>5.756770833333333</v>
      </c>
      <c r="AG17" s="36">
        <f t="shared" si="11"/>
        <v>5.748961038961039</v>
      </c>
      <c r="AH17" s="36">
        <f t="shared" si="12"/>
        <v>1.2753424657534247</v>
      </c>
      <c r="AI17" s="36">
        <f t="shared" si="13"/>
        <v>7.028208401900611</v>
      </c>
      <c r="AJ17" s="34">
        <v>278.73</v>
      </c>
      <c r="AK17" s="26">
        <v>0</v>
      </c>
      <c r="AL17" s="8">
        <v>17</v>
      </c>
      <c r="AM17" s="8">
        <v>5</v>
      </c>
      <c r="AN17" s="25">
        <v>11</v>
      </c>
      <c r="AO17" s="25">
        <v>17</v>
      </c>
      <c r="AP17" s="8">
        <v>0</v>
      </c>
      <c r="AQ17" s="8">
        <f t="shared" si="4"/>
        <v>170</v>
      </c>
      <c r="AR17" s="8">
        <f t="shared" si="5"/>
        <v>55</v>
      </c>
      <c r="AS17" s="22">
        <f>1058.45+3</f>
        <v>1061.45</v>
      </c>
      <c r="AT17" s="22">
        <f>347.53-3</f>
        <v>344.53</v>
      </c>
      <c r="AU17" s="33">
        <v>242</v>
      </c>
      <c r="AV17" s="36">
        <f t="shared" si="14"/>
        <v>6.243823529411765</v>
      </c>
      <c r="AW17" s="36">
        <f t="shared" si="15"/>
        <v>6.264181818181818</v>
      </c>
      <c r="AX17" s="36">
        <f t="shared" si="16"/>
        <v>1.0755555555555556</v>
      </c>
      <c r="AY17" s="36">
        <f t="shared" si="17"/>
        <v>7.329558229352347</v>
      </c>
      <c r="AZ17" s="34">
        <v>476.25</v>
      </c>
      <c r="BA17" s="26">
        <v>0</v>
      </c>
    </row>
    <row r="18" spans="2:53" s="18" customFormat="1" ht="15">
      <c r="B18" s="20">
        <v>11</v>
      </c>
      <c r="C18" s="32" t="s">
        <v>11</v>
      </c>
      <c r="D18" s="34">
        <v>1182.4</v>
      </c>
      <c r="E18" s="26">
        <v>1552.46</v>
      </c>
      <c r="F18" s="8">
        <v>0</v>
      </c>
      <c r="G18" s="8">
        <v>11</v>
      </c>
      <c r="H18" s="25">
        <v>10</v>
      </c>
      <c r="I18" s="25">
        <v>0</v>
      </c>
      <c r="J18" s="8">
        <v>0</v>
      </c>
      <c r="K18" s="8">
        <f t="shared" si="0"/>
        <v>0</v>
      </c>
      <c r="L18" s="8">
        <f t="shared" si="1"/>
        <v>110</v>
      </c>
      <c r="M18" s="22">
        <v>0</v>
      </c>
      <c r="N18" s="22">
        <v>575.7600000000002</v>
      </c>
      <c r="O18" s="33">
        <v>342.07</v>
      </c>
      <c r="P18" s="36" t="e">
        <f t="shared" si="6"/>
        <v>#DIV/0!</v>
      </c>
      <c r="Q18" s="36">
        <f t="shared" si="7"/>
        <v>5.2341818181818205</v>
      </c>
      <c r="R18" s="36">
        <f t="shared" si="8"/>
        <v>3.1097272727272727</v>
      </c>
      <c r="S18" s="36" t="e">
        <f t="shared" si="9"/>
        <v>#DIV/0!</v>
      </c>
      <c r="T18" s="34">
        <v>1204.04</v>
      </c>
      <c r="U18" s="26">
        <v>1501.49</v>
      </c>
      <c r="V18" s="8">
        <v>28</v>
      </c>
      <c r="W18" s="8">
        <v>6</v>
      </c>
      <c r="X18" s="25">
        <v>20</v>
      </c>
      <c r="Y18" s="25">
        <v>0</v>
      </c>
      <c r="Z18" s="8">
        <v>20</v>
      </c>
      <c r="AA18" s="8">
        <f t="shared" si="2"/>
        <v>560</v>
      </c>
      <c r="AB18" s="8">
        <f t="shared" si="3"/>
        <v>100</v>
      </c>
      <c r="AC18" s="22">
        <f>2831.09-17</f>
        <v>2814.09</v>
      </c>
      <c r="AD18" s="22">
        <f>485.9+17</f>
        <v>502.9</v>
      </c>
      <c r="AE18" s="33">
        <v>1442.23</v>
      </c>
      <c r="AF18" s="36">
        <f t="shared" si="10"/>
        <v>5.025160714285715</v>
      </c>
      <c r="AG18" s="36">
        <f t="shared" si="11"/>
        <v>5.029</v>
      </c>
      <c r="AH18" s="36">
        <f t="shared" si="12"/>
        <v>2.1851969696969697</v>
      </c>
      <c r="AI18" s="36">
        <f t="shared" si="13"/>
        <v>7.212277326839827</v>
      </c>
      <c r="AJ18" s="34">
        <v>550.8</v>
      </c>
      <c r="AK18" s="26">
        <v>1164.41</v>
      </c>
      <c r="AL18" s="8">
        <v>28</v>
      </c>
      <c r="AM18" s="8">
        <v>8</v>
      </c>
      <c r="AN18" s="25">
        <v>13</v>
      </c>
      <c r="AO18" s="25">
        <v>13</v>
      </c>
      <c r="AP18" s="8">
        <v>39</v>
      </c>
      <c r="AQ18" s="8">
        <f t="shared" si="4"/>
        <v>351</v>
      </c>
      <c r="AR18" s="8">
        <f t="shared" si="5"/>
        <v>65</v>
      </c>
      <c r="AS18" s="22">
        <f>1544.21-23</f>
        <v>1521.21</v>
      </c>
      <c r="AT18" s="22">
        <f>259.1+23</f>
        <v>282.1</v>
      </c>
      <c r="AU18" s="33">
        <v>1445.72</v>
      </c>
      <c r="AV18" s="36">
        <f t="shared" si="14"/>
        <v>4.333931623931624</v>
      </c>
      <c r="AW18" s="36">
        <f t="shared" si="15"/>
        <v>4.340000000000001</v>
      </c>
      <c r="AX18" s="36">
        <f t="shared" si="16"/>
        <v>3.4752884615384616</v>
      </c>
      <c r="AY18" s="36">
        <f t="shared" si="17"/>
        <v>7.812254273504275</v>
      </c>
      <c r="AZ18" s="34">
        <v>360.63</v>
      </c>
      <c r="BA18" s="26">
        <v>929.6</v>
      </c>
    </row>
    <row r="19" spans="2:53" s="18" customFormat="1" ht="15">
      <c r="B19" s="24">
        <v>12</v>
      </c>
      <c r="C19" s="32" t="s">
        <v>22</v>
      </c>
      <c r="D19" s="34">
        <v>1871.61</v>
      </c>
      <c r="E19" s="26">
        <v>0</v>
      </c>
      <c r="F19" s="8">
        <v>0</v>
      </c>
      <c r="G19" s="8">
        <v>17</v>
      </c>
      <c r="H19" s="25">
        <v>15</v>
      </c>
      <c r="I19" s="25">
        <v>0</v>
      </c>
      <c r="J19" s="8">
        <v>30</v>
      </c>
      <c r="K19" s="8">
        <f t="shared" si="0"/>
        <v>0</v>
      </c>
      <c r="L19" s="8">
        <f t="shared" si="1"/>
        <v>225</v>
      </c>
      <c r="M19" s="22">
        <v>0</v>
      </c>
      <c r="N19" s="22">
        <v>1232.4</v>
      </c>
      <c r="O19" s="33">
        <v>128.05</v>
      </c>
      <c r="P19" s="36" t="e">
        <f t="shared" si="6"/>
        <v>#DIV/0!</v>
      </c>
      <c r="Q19" s="36">
        <f t="shared" si="7"/>
        <v>5.477333333333334</v>
      </c>
      <c r="R19" s="36">
        <f t="shared" si="8"/>
        <v>0.5691111111111111</v>
      </c>
      <c r="S19" s="36" t="e">
        <f t="shared" si="9"/>
        <v>#DIV/0!</v>
      </c>
      <c r="T19" s="34">
        <v>1664.23</v>
      </c>
      <c r="U19" s="26">
        <v>0</v>
      </c>
      <c r="V19" s="8">
        <v>21</v>
      </c>
      <c r="W19" s="8">
        <v>9</v>
      </c>
      <c r="X19" s="25">
        <v>20</v>
      </c>
      <c r="Y19" s="25">
        <v>0</v>
      </c>
      <c r="Z19" s="8">
        <v>20</v>
      </c>
      <c r="AA19" s="8">
        <f t="shared" si="2"/>
        <v>420</v>
      </c>
      <c r="AB19" s="8">
        <f t="shared" si="3"/>
        <v>160</v>
      </c>
      <c r="AC19" s="22">
        <f>1953.36-135</f>
        <v>1818.36</v>
      </c>
      <c r="AD19" s="22">
        <f>558.18+135</f>
        <v>693.18</v>
      </c>
      <c r="AE19" s="33">
        <v>1067</v>
      </c>
      <c r="AF19" s="36">
        <f t="shared" si="10"/>
        <v>4.329428571428571</v>
      </c>
      <c r="AG19" s="36">
        <f t="shared" si="11"/>
        <v>4.332375</v>
      </c>
      <c r="AH19" s="36">
        <f t="shared" si="12"/>
        <v>1.839655172413793</v>
      </c>
      <c r="AI19" s="36">
        <f t="shared" si="13"/>
        <v>6.170556958128079</v>
      </c>
      <c r="AJ19" s="34">
        <v>1796.36</v>
      </c>
      <c r="AK19" s="26">
        <v>0</v>
      </c>
      <c r="AL19" s="8">
        <v>21</v>
      </c>
      <c r="AM19" s="8">
        <v>8</v>
      </c>
      <c r="AN19" s="25">
        <v>11</v>
      </c>
      <c r="AO19" s="25">
        <v>0</v>
      </c>
      <c r="AP19" s="8">
        <v>0</v>
      </c>
      <c r="AQ19" s="8">
        <f t="shared" si="4"/>
        <v>231</v>
      </c>
      <c r="AR19" s="8">
        <f t="shared" si="5"/>
        <v>88</v>
      </c>
      <c r="AS19" s="22">
        <f>980.9-25</f>
        <v>955.9</v>
      </c>
      <c r="AT19" s="22">
        <f>341.38+25</f>
        <v>366.38</v>
      </c>
      <c r="AU19" s="33">
        <v>1301.72</v>
      </c>
      <c r="AV19" s="36">
        <f t="shared" si="14"/>
        <v>4.138095238095238</v>
      </c>
      <c r="AW19" s="36">
        <f t="shared" si="15"/>
        <v>4.163409090909091</v>
      </c>
      <c r="AX19" s="36">
        <f t="shared" si="16"/>
        <v>4.080626959247649</v>
      </c>
      <c r="AY19" s="36">
        <f t="shared" si="17"/>
        <v>8.231379123749813</v>
      </c>
      <c r="AZ19" s="34">
        <v>2176.12</v>
      </c>
      <c r="BA19" s="26">
        <v>0</v>
      </c>
    </row>
    <row r="20" spans="2:53" s="18" customFormat="1" ht="15">
      <c r="B20" s="20">
        <v>13</v>
      </c>
      <c r="C20" s="32" t="s">
        <v>12</v>
      </c>
      <c r="D20" s="34">
        <v>0</v>
      </c>
      <c r="E20" s="26">
        <v>0</v>
      </c>
      <c r="F20" s="8">
        <v>0</v>
      </c>
      <c r="G20" s="8">
        <v>7</v>
      </c>
      <c r="H20" s="25">
        <v>14</v>
      </c>
      <c r="I20" s="25">
        <v>0</v>
      </c>
      <c r="J20" s="8">
        <v>17</v>
      </c>
      <c r="K20" s="8">
        <f t="shared" si="0"/>
        <v>0</v>
      </c>
      <c r="L20" s="8">
        <f t="shared" si="1"/>
        <v>81</v>
      </c>
      <c r="M20" s="22">
        <v>0</v>
      </c>
      <c r="N20" s="22">
        <v>269.48</v>
      </c>
      <c r="O20" s="33">
        <v>196.69</v>
      </c>
      <c r="P20" s="36" t="e">
        <f t="shared" si="6"/>
        <v>#DIV/0!</v>
      </c>
      <c r="Q20" s="36">
        <f t="shared" si="7"/>
        <v>3.326913580246914</v>
      </c>
      <c r="R20" s="36">
        <f t="shared" si="8"/>
        <v>2.4282716049382715</v>
      </c>
      <c r="S20" s="36" t="e">
        <f t="shared" si="9"/>
        <v>#DIV/0!</v>
      </c>
      <c r="T20" s="34">
        <v>71.87</v>
      </c>
      <c r="U20" s="26">
        <v>0</v>
      </c>
      <c r="V20" s="8">
        <v>29</v>
      </c>
      <c r="W20" s="8">
        <v>2</v>
      </c>
      <c r="X20" s="25">
        <v>20</v>
      </c>
      <c r="Y20" s="25">
        <v>41</v>
      </c>
      <c r="Z20" s="8">
        <v>0</v>
      </c>
      <c r="AA20" s="8">
        <f t="shared" si="2"/>
        <v>539</v>
      </c>
      <c r="AB20" s="8">
        <f t="shared" si="3"/>
        <v>40</v>
      </c>
      <c r="AC20" s="22">
        <f>2180.1+54</f>
        <v>2234.1</v>
      </c>
      <c r="AD20" s="22">
        <f>219.93-54</f>
        <v>165.93</v>
      </c>
      <c r="AE20" s="33">
        <v>1125.07</v>
      </c>
      <c r="AF20" s="36">
        <f t="shared" si="10"/>
        <v>4.144897959183673</v>
      </c>
      <c r="AG20" s="36">
        <f t="shared" si="11"/>
        <v>4.14825</v>
      </c>
      <c r="AH20" s="36">
        <f t="shared" si="12"/>
        <v>1.9431260794473229</v>
      </c>
      <c r="AI20" s="36">
        <f t="shared" si="13"/>
        <v>6.08970005903916</v>
      </c>
      <c r="AJ20" s="34">
        <v>526.34</v>
      </c>
      <c r="AK20" s="26">
        <v>0</v>
      </c>
      <c r="AL20" s="8">
        <v>29</v>
      </c>
      <c r="AM20" s="8">
        <v>2</v>
      </c>
      <c r="AN20" s="25">
        <v>9</v>
      </c>
      <c r="AO20" s="25">
        <v>25</v>
      </c>
      <c r="AP20" s="8">
        <v>2</v>
      </c>
      <c r="AQ20" s="8">
        <f t="shared" si="4"/>
        <v>236</v>
      </c>
      <c r="AR20" s="8">
        <f t="shared" si="5"/>
        <v>16</v>
      </c>
      <c r="AS20" s="22">
        <f>1392.39+45</f>
        <v>1437.39</v>
      </c>
      <c r="AT20" s="22">
        <f>142.11-45</f>
        <v>97.11000000000001</v>
      </c>
      <c r="AU20" s="33">
        <v>464.62</v>
      </c>
      <c r="AV20" s="36">
        <f t="shared" si="14"/>
        <v>6.090635593220339</v>
      </c>
      <c r="AW20" s="36">
        <f t="shared" si="15"/>
        <v>6.069375000000001</v>
      </c>
      <c r="AX20" s="36">
        <f t="shared" si="16"/>
        <v>1.8437301587301587</v>
      </c>
      <c r="AY20" s="36">
        <f t="shared" si="17"/>
        <v>7.923735455340329</v>
      </c>
      <c r="AZ20" s="34">
        <v>504.44</v>
      </c>
      <c r="BA20" s="26">
        <v>0</v>
      </c>
    </row>
    <row r="21" spans="2:53" s="18" customFormat="1" ht="15">
      <c r="B21" s="24">
        <v>14</v>
      </c>
      <c r="C21" s="32" t="s">
        <v>25</v>
      </c>
      <c r="D21" s="34">
        <v>1177.19</v>
      </c>
      <c r="E21" s="26">
        <v>0</v>
      </c>
      <c r="F21" s="8">
        <v>4</v>
      </c>
      <c r="G21" s="8">
        <v>4</v>
      </c>
      <c r="H21" s="25">
        <v>10</v>
      </c>
      <c r="I21" s="25">
        <v>0</v>
      </c>
      <c r="J21" s="8">
        <v>0</v>
      </c>
      <c r="K21" s="8">
        <f t="shared" si="0"/>
        <v>40</v>
      </c>
      <c r="L21" s="8">
        <f t="shared" si="1"/>
        <v>40</v>
      </c>
      <c r="M21" s="22">
        <v>121.29500000000007</v>
      </c>
      <c r="N21" s="22">
        <v>121.29500000000007</v>
      </c>
      <c r="O21" s="33">
        <v>92.09</v>
      </c>
      <c r="P21" s="36">
        <f t="shared" si="6"/>
        <v>3.032375000000002</v>
      </c>
      <c r="Q21" s="36">
        <f t="shared" si="7"/>
        <v>3.032375000000002</v>
      </c>
      <c r="R21" s="36">
        <f t="shared" si="8"/>
        <v>1.151125</v>
      </c>
      <c r="S21" s="36">
        <f t="shared" si="9"/>
        <v>4.183500000000002</v>
      </c>
      <c r="T21" s="34">
        <v>1188.35</v>
      </c>
      <c r="U21" s="26">
        <v>0</v>
      </c>
      <c r="V21" s="8">
        <v>34</v>
      </c>
      <c r="W21" s="8">
        <v>1</v>
      </c>
      <c r="X21" s="25">
        <v>20</v>
      </c>
      <c r="Y21" s="25">
        <v>40</v>
      </c>
      <c r="Z21" s="8">
        <v>0</v>
      </c>
      <c r="AA21" s="8">
        <f t="shared" si="2"/>
        <v>640</v>
      </c>
      <c r="AB21" s="8">
        <f t="shared" si="3"/>
        <v>20</v>
      </c>
      <c r="AC21" s="22">
        <f>2557.37+34</f>
        <v>2591.37</v>
      </c>
      <c r="AD21" s="22">
        <f>115.06-34</f>
        <v>81.06</v>
      </c>
      <c r="AE21" s="33">
        <v>1144.35</v>
      </c>
      <c r="AF21" s="36">
        <f t="shared" si="10"/>
        <v>4.049015625</v>
      </c>
      <c r="AG21" s="36">
        <f t="shared" si="11"/>
        <v>4.053</v>
      </c>
      <c r="AH21" s="36">
        <f t="shared" si="12"/>
        <v>1.7338636363636362</v>
      </c>
      <c r="AI21" s="36">
        <f t="shared" si="13"/>
        <v>5.784871448863636</v>
      </c>
      <c r="AJ21" s="34">
        <v>1188.52</v>
      </c>
      <c r="AK21" s="26">
        <v>0</v>
      </c>
      <c r="AL21" s="8">
        <v>34</v>
      </c>
      <c r="AM21" s="8">
        <v>1</v>
      </c>
      <c r="AN21" s="25">
        <v>16</v>
      </c>
      <c r="AO21" s="25">
        <v>32</v>
      </c>
      <c r="AP21" s="8">
        <v>0</v>
      </c>
      <c r="AQ21" s="8">
        <f t="shared" si="4"/>
        <v>512</v>
      </c>
      <c r="AR21" s="8">
        <f t="shared" si="5"/>
        <v>16</v>
      </c>
      <c r="AS21" s="22">
        <v>2046.17</v>
      </c>
      <c r="AT21" s="22">
        <f>64.9</f>
        <v>64.9</v>
      </c>
      <c r="AU21" s="33">
        <v>509.35</v>
      </c>
      <c r="AV21" s="36">
        <f t="shared" si="14"/>
        <v>3.99642578125</v>
      </c>
      <c r="AW21" s="36">
        <f t="shared" si="15"/>
        <v>4.05625</v>
      </c>
      <c r="AX21" s="36">
        <f t="shared" si="16"/>
        <v>0.9646780303030303</v>
      </c>
      <c r="AY21" s="36">
        <f t="shared" si="17"/>
        <v>4.991015920928031</v>
      </c>
      <c r="AZ21" s="34">
        <v>477.17</v>
      </c>
      <c r="BA21" s="26">
        <v>0</v>
      </c>
    </row>
    <row r="22" spans="2:53" s="18" customFormat="1" ht="17.25" customHeight="1">
      <c r="B22" s="20">
        <v>15</v>
      </c>
      <c r="C22" s="32" t="s">
        <v>33</v>
      </c>
      <c r="D22" s="34">
        <v>12.21</v>
      </c>
      <c r="E22" s="26">
        <v>0</v>
      </c>
      <c r="F22" s="8">
        <v>0</v>
      </c>
      <c r="G22" s="8">
        <v>0</v>
      </c>
      <c r="H22" s="25">
        <v>0</v>
      </c>
      <c r="I22" s="25">
        <v>0</v>
      </c>
      <c r="J22" s="8">
        <v>0</v>
      </c>
      <c r="K22" s="8">
        <f t="shared" si="0"/>
        <v>0</v>
      </c>
      <c r="L22" s="8">
        <f t="shared" si="1"/>
        <v>0</v>
      </c>
      <c r="M22" s="22"/>
      <c r="N22" s="22"/>
      <c r="O22" s="33">
        <v>0</v>
      </c>
      <c r="P22" s="36" t="e">
        <f t="shared" si="6"/>
        <v>#DIV/0!</v>
      </c>
      <c r="Q22" s="36" t="e">
        <f t="shared" si="7"/>
        <v>#DIV/0!</v>
      </c>
      <c r="R22" s="36" t="e">
        <f t="shared" si="8"/>
        <v>#DIV/0!</v>
      </c>
      <c r="S22" s="36" t="e">
        <f t="shared" si="9"/>
        <v>#DIV/0!</v>
      </c>
      <c r="T22" s="34">
        <v>12.21</v>
      </c>
      <c r="U22" s="26">
        <v>0</v>
      </c>
      <c r="V22" s="8">
        <v>22</v>
      </c>
      <c r="W22" s="8">
        <v>9</v>
      </c>
      <c r="X22" s="25">
        <v>20</v>
      </c>
      <c r="Y22" s="25">
        <v>40</v>
      </c>
      <c r="Z22" s="8">
        <v>18</v>
      </c>
      <c r="AA22" s="8">
        <f t="shared" si="2"/>
        <v>400</v>
      </c>
      <c r="AB22" s="8">
        <f t="shared" si="3"/>
        <v>162</v>
      </c>
      <c r="AC22" s="22">
        <v>1533.69</v>
      </c>
      <c r="AD22" s="22">
        <v>621.14</v>
      </c>
      <c r="AE22" s="33">
        <v>1519.71</v>
      </c>
      <c r="AF22" s="36">
        <f t="shared" si="10"/>
        <v>3.834225</v>
      </c>
      <c r="AG22" s="36">
        <f t="shared" si="11"/>
        <v>3.8341975308641976</v>
      </c>
      <c r="AH22" s="36">
        <f t="shared" si="12"/>
        <v>2.7041103202846974</v>
      </c>
      <c r="AI22" s="36">
        <f t="shared" si="13"/>
        <v>6.538321585716796</v>
      </c>
      <c r="AJ22" s="34">
        <v>74.23</v>
      </c>
      <c r="AK22" s="26">
        <v>0</v>
      </c>
      <c r="AL22" s="8">
        <v>22</v>
      </c>
      <c r="AM22" s="8">
        <v>9</v>
      </c>
      <c r="AN22" s="25">
        <v>11</v>
      </c>
      <c r="AO22" s="25">
        <v>44</v>
      </c>
      <c r="AP22" s="8">
        <v>22</v>
      </c>
      <c r="AQ22" s="8">
        <f t="shared" si="4"/>
        <v>198</v>
      </c>
      <c r="AR22" s="8">
        <f t="shared" si="5"/>
        <v>77</v>
      </c>
      <c r="AS22" s="22">
        <v>869.58</v>
      </c>
      <c r="AT22" s="22">
        <v>339.36</v>
      </c>
      <c r="AU22" s="33">
        <v>1060.07</v>
      </c>
      <c r="AV22" s="36">
        <f t="shared" si="14"/>
        <v>4.391818181818182</v>
      </c>
      <c r="AW22" s="36">
        <f t="shared" si="15"/>
        <v>4.407272727272727</v>
      </c>
      <c r="AX22" s="36">
        <f t="shared" si="16"/>
        <v>3.8547999999999996</v>
      </c>
      <c r="AY22" s="36">
        <f t="shared" si="17"/>
        <v>8.254345454545454</v>
      </c>
      <c r="AZ22" s="34">
        <v>183.49</v>
      </c>
      <c r="BA22" s="26">
        <v>0</v>
      </c>
    </row>
    <row r="23" spans="2:53" s="18" customFormat="1" ht="15">
      <c r="B23" s="24">
        <v>16</v>
      </c>
      <c r="C23" s="32" t="s">
        <v>26</v>
      </c>
      <c r="D23" s="34">
        <v>3998.39</v>
      </c>
      <c r="E23" s="26">
        <v>0</v>
      </c>
      <c r="F23" s="8">
        <v>21</v>
      </c>
      <c r="G23" s="8">
        <v>10</v>
      </c>
      <c r="H23" s="25">
        <v>15</v>
      </c>
      <c r="I23" s="25">
        <v>6</v>
      </c>
      <c r="J23" s="8">
        <v>2</v>
      </c>
      <c r="K23" s="8">
        <f t="shared" si="0"/>
        <v>309</v>
      </c>
      <c r="L23" s="8">
        <f t="shared" si="1"/>
        <v>148</v>
      </c>
      <c r="M23" s="22">
        <v>1316.5631291028446</v>
      </c>
      <c r="N23" s="22">
        <v>630.5868708971553</v>
      </c>
      <c r="O23" s="33">
        <v>150</v>
      </c>
      <c r="P23" s="36">
        <f t="shared" si="6"/>
        <v>4.260722100656455</v>
      </c>
      <c r="Q23" s="36">
        <f t="shared" si="7"/>
        <v>4.260722100656455</v>
      </c>
      <c r="R23" s="36">
        <f t="shared" si="8"/>
        <v>0.3282275711159737</v>
      </c>
      <c r="S23" s="36">
        <f t="shared" si="9"/>
        <v>4.588949671772429</v>
      </c>
      <c r="T23" s="34">
        <v>2051.24</v>
      </c>
      <c r="U23" s="26">
        <v>0</v>
      </c>
      <c r="V23" s="8">
        <v>21</v>
      </c>
      <c r="W23" s="8">
        <v>2</v>
      </c>
      <c r="X23" s="25">
        <v>20</v>
      </c>
      <c r="Y23" s="25">
        <v>12</v>
      </c>
      <c r="Z23" s="8">
        <v>0</v>
      </c>
      <c r="AA23" s="8">
        <f t="shared" si="2"/>
        <v>408</v>
      </c>
      <c r="AB23" s="8">
        <f t="shared" si="3"/>
        <v>40</v>
      </c>
      <c r="AC23" s="22">
        <f>874.14-78</f>
        <v>796.14</v>
      </c>
      <c r="AD23" s="22">
        <v>78</v>
      </c>
      <c r="AE23" s="33">
        <v>80</v>
      </c>
      <c r="AF23" s="36">
        <f t="shared" si="10"/>
        <v>1.9513235294117646</v>
      </c>
      <c r="AG23" s="36">
        <f t="shared" si="11"/>
        <v>1.95</v>
      </c>
      <c r="AH23" s="36">
        <f t="shared" si="12"/>
        <v>0.17857142857142858</v>
      </c>
      <c r="AI23" s="36">
        <f t="shared" si="13"/>
        <v>2.1292331932773108</v>
      </c>
      <c r="AJ23" s="34">
        <v>1233.28</v>
      </c>
      <c r="AK23" s="26">
        <v>0</v>
      </c>
      <c r="AL23" s="8">
        <v>20</v>
      </c>
      <c r="AM23" s="8">
        <v>2</v>
      </c>
      <c r="AN23" s="25">
        <v>11</v>
      </c>
      <c r="AO23" s="25">
        <v>4</v>
      </c>
      <c r="AP23" s="8">
        <v>1</v>
      </c>
      <c r="AQ23" s="8">
        <f t="shared" si="4"/>
        <v>216</v>
      </c>
      <c r="AR23" s="8">
        <f t="shared" si="5"/>
        <v>21</v>
      </c>
      <c r="AS23" s="22">
        <f>1195.94+62</f>
        <v>1257.94</v>
      </c>
      <c r="AT23" s="22">
        <f>184.28-62</f>
        <v>122.28</v>
      </c>
      <c r="AU23" s="33">
        <v>0</v>
      </c>
      <c r="AV23" s="36">
        <f t="shared" si="14"/>
        <v>5.823796296296297</v>
      </c>
      <c r="AW23" s="36">
        <f t="shared" si="15"/>
        <v>5.822857142857143</v>
      </c>
      <c r="AX23" s="36">
        <f t="shared" si="16"/>
        <v>0</v>
      </c>
      <c r="AY23" s="36">
        <f t="shared" si="17"/>
        <v>5.82332671957672</v>
      </c>
      <c r="AZ23" s="34">
        <v>1650.11</v>
      </c>
      <c r="BA23" s="26">
        <v>0</v>
      </c>
    </row>
    <row r="24" spans="2:53" s="18" customFormat="1" ht="15">
      <c r="B24" s="20">
        <v>17</v>
      </c>
      <c r="C24" s="32" t="s">
        <v>24</v>
      </c>
      <c r="D24" s="34">
        <v>14.16</v>
      </c>
      <c r="E24" s="26">
        <v>0</v>
      </c>
      <c r="F24" s="8">
        <v>7</v>
      </c>
      <c r="G24" s="8">
        <v>0</v>
      </c>
      <c r="H24" s="25">
        <v>10</v>
      </c>
      <c r="I24" s="25">
        <v>0</v>
      </c>
      <c r="J24" s="8">
        <v>0</v>
      </c>
      <c r="K24" s="8">
        <f t="shared" si="0"/>
        <v>70</v>
      </c>
      <c r="L24" s="8">
        <f t="shared" si="1"/>
        <v>0</v>
      </c>
      <c r="M24" s="22">
        <v>479.23999999999995</v>
      </c>
      <c r="N24" s="22">
        <v>0</v>
      </c>
      <c r="O24" s="33">
        <v>0</v>
      </c>
      <c r="P24" s="36">
        <f t="shared" si="6"/>
        <v>6.846285714285713</v>
      </c>
      <c r="Q24" s="36" t="e">
        <f t="shared" si="7"/>
        <v>#DIV/0!</v>
      </c>
      <c r="R24" s="36">
        <f t="shared" si="8"/>
        <v>0</v>
      </c>
      <c r="S24" s="36" t="e">
        <f t="shared" si="9"/>
        <v>#DIV/0!</v>
      </c>
      <c r="T24" s="34">
        <v>71.43</v>
      </c>
      <c r="U24" s="26">
        <v>0</v>
      </c>
      <c r="V24" s="8">
        <v>15</v>
      </c>
      <c r="W24" s="8">
        <v>0</v>
      </c>
      <c r="X24" s="25">
        <v>20</v>
      </c>
      <c r="Y24" s="25">
        <v>0</v>
      </c>
      <c r="Z24" s="8">
        <v>0</v>
      </c>
      <c r="AA24" s="8">
        <f t="shared" si="2"/>
        <v>300</v>
      </c>
      <c r="AB24" s="8">
        <f t="shared" si="3"/>
        <v>0</v>
      </c>
      <c r="AC24" s="22">
        <v>1305.29</v>
      </c>
      <c r="AD24" s="22">
        <v>0</v>
      </c>
      <c r="AE24" s="33">
        <v>1043.3</v>
      </c>
      <c r="AF24" s="36">
        <f t="shared" si="10"/>
        <v>4.350966666666666</v>
      </c>
      <c r="AG24" s="36" t="e">
        <f t="shared" si="11"/>
        <v>#DIV/0!</v>
      </c>
      <c r="AH24" s="36">
        <f t="shared" si="12"/>
        <v>3.4776666666666665</v>
      </c>
      <c r="AI24" s="36" t="e">
        <f t="shared" si="13"/>
        <v>#DIV/0!</v>
      </c>
      <c r="AJ24" s="34">
        <v>12.89</v>
      </c>
      <c r="AK24" s="26">
        <v>55.65</v>
      </c>
      <c r="AL24" s="8">
        <v>15</v>
      </c>
      <c r="AM24" s="8">
        <v>0</v>
      </c>
      <c r="AN24" s="25">
        <v>11</v>
      </c>
      <c r="AO24" s="25">
        <v>0</v>
      </c>
      <c r="AP24" s="8">
        <v>0</v>
      </c>
      <c r="AQ24" s="8">
        <f t="shared" si="4"/>
        <v>165</v>
      </c>
      <c r="AR24" s="8">
        <f t="shared" si="5"/>
        <v>0</v>
      </c>
      <c r="AS24" s="22">
        <v>929.12</v>
      </c>
      <c r="AT24" s="22">
        <v>0</v>
      </c>
      <c r="AU24" s="33">
        <v>280.78</v>
      </c>
      <c r="AV24" s="36">
        <f t="shared" si="14"/>
        <v>5.631030303030303</v>
      </c>
      <c r="AW24" s="36" t="e">
        <f t="shared" si="15"/>
        <v>#DIV/0!</v>
      </c>
      <c r="AX24" s="36">
        <f t="shared" si="16"/>
        <v>1.7016969696969695</v>
      </c>
      <c r="AY24" s="36" t="e">
        <f t="shared" si="17"/>
        <v>#DIV/0!</v>
      </c>
      <c r="AZ24" s="34">
        <v>167.77</v>
      </c>
      <c r="BA24" s="26">
        <v>0</v>
      </c>
    </row>
    <row r="25" spans="2:53" s="18" customFormat="1" ht="15.75" thickBot="1">
      <c r="B25" s="24">
        <v>18</v>
      </c>
      <c r="C25" s="28" t="s">
        <v>13</v>
      </c>
      <c r="D25" s="35">
        <v>86.36</v>
      </c>
      <c r="E25" s="29">
        <v>0</v>
      </c>
      <c r="F25" s="8">
        <v>29</v>
      </c>
      <c r="G25" s="8">
        <v>0</v>
      </c>
      <c r="H25" s="25">
        <v>15</v>
      </c>
      <c r="I25" s="25">
        <v>0</v>
      </c>
      <c r="J25" s="8">
        <v>0</v>
      </c>
      <c r="K25" s="8">
        <f t="shared" si="0"/>
        <v>435</v>
      </c>
      <c r="L25" s="8">
        <f t="shared" si="1"/>
        <v>0</v>
      </c>
      <c r="M25" s="22">
        <v>432.70000000000005</v>
      </c>
      <c r="N25" s="22">
        <v>0</v>
      </c>
      <c r="O25" s="33">
        <v>57.75</v>
      </c>
      <c r="P25" s="36">
        <f t="shared" si="6"/>
        <v>0.994712643678161</v>
      </c>
      <c r="Q25" s="36" t="e">
        <f t="shared" si="7"/>
        <v>#DIV/0!</v>
      </c>
      <c r="R25" s="36">
        <f t="shared" si="8"/>
        <v>0.13275862068965516</v>
      </c>
      <c r="S25" s="36" t="e">
        <f t="shared" si="9"/>
        <v>#DIV/0!</v>
      </c>
      <c r="T25" s="35">
        <v>107.16</v>
      </c>
      <c r="U25" s="29">
        <v>0</v>
      </c>
      <c r="V25" s="8">
        <v>38</v>
      </c>
      <c r="W25" s="8">
        <v>0</v>
      </c>
      <c r="X25" s="25">
        <v>20</v>
      </c>
      <c r="Y25" s="25">
        <v>0</v>
      </c>
      <c r="Z25" s="8">
        <v>0</v>
      </c>
      <c r="AA25" s="8">
        <f t="shared" si="2"/>
        <v>760</v>
      </c>
      <c r="AB25" s="8">
        <f t="shared" si="3"/>
        <v>0</v>
      </c>
      <c r="AC25" s="22">
        <v>3239.1099999999997</v>
      </c>
      <c r="AD25" s="22">
        <v>0</v>
      </c>
      <c r="AE25" s="33">
        <v>892.43</v>
      </c>
      <c r="AF25" s="36">
        <f t="shared" si="10"/>
        <v>4.261986842105263</v>
      </c>
      <c r="AG25" s="36" t="e">
        <f t="shared" si="11"/>
        <v>#DIV/0!</v>
      </c>
      <c r="AH25" s="36">
        <f t="shared" si="12"/>
        <v>1.17425</v>
      </c>
      <c r="AI25" s="36" t="e">
        <f t="shared" si="13"/>
        <v>#DIV/0!</v>
      </c>
      <c r="AJ25" s="35">
        <v>38.15</v>
      </c>
      <c r="AK25" s="29">
        <v>0</v>
      </c>
      <c r="AL25" s="8">
        <v>38</v>
      </c>
      <c r="AM25" s="8">
        <v>0</v>
      </c>
      <c r="AN25" s="25">
        <v>12</v>
      </c>
      <c r="AO25" s="25">
        <v>0</v>
      </c>
      <c r="AP25" s="8">
        <v>0</v>
      </c>
      <c r="AQ25" s="8">
        <f t="shared" si="4"/>
        <v>456</v>
      </c>
      <c r="AR25" s="8">
        <f t="shared" si="5"/>
        <v>0</v>
      </c>
      <c r="AS25" s="22">
        <v>1845.4699999999998</v>
      </c>
      <c r="AT25" s="22">
        <v>0</v>
      </c>
      <c r="AU25" s="33">
        <v>485.62</v>
      </c>
      <c r="AV25" s="36">
        <f t="shared" si="14"/>
        <v>4.047083333333333</v>
      </c>
      <c r="AW25" s="36" t="e">
        <f t="shared" si="15"/>
        <v>#DIV/0!</v>
      </c>
      <c r="AX25" s="36">
        <f t="shared" si="16"/>
        <v>1.0649561403508772</v>
      </c>
      <c r="AY25" s="36" t="e">
        <f t="shared" si="17"/>
        <v>#DIV/0!</v>
      </c>
      <c r="AZ25" s="35">
        <v>503.49</v>
      </c>
      <c r="BA25" s="29">
        <v>0</v>
      </c>
    </row>
    <row r="26" spans="2:53" s="19" customFormat="1" ht="15.75" thickBot="1">
      <c r="B26" s="94" t="s">
        <v>2</v>
      </c>
      <c r="C26" s="95"/>
      <c r="D26" s="9">
        <f>SUM(D8:D25)</f>
        <v>27921.170000000002</v>
      </c>
      <c r="E26" s="9">
        <f>SUM(E8:E25)</f>
        <v>3730.24</v>
      </c>
      <c r="F26" s="12">
        <f aca="true" t="shared" si="18" ref="F26:O26">SUM(F8:F25)</f>
        <v>296</v>
      </c>
      <c r="G26" s="12">
        <f t="shared" si="18"/>
        <v>221</v>
      </c>
      <c r="H26" s="12">
        <f>SUM(H8:H25)/18</f>
        <v>11.777777777777779</v>
      </c>
      <c r="I26" s="12">
        <f t="shared" si="18"/>
        <v>453</v>
      </c>
      <c r="J26" s="12">
        <f t="shared" si="18"/>
        <v>368</v>
      </c>
      <c r="K26" s="12">
        <f t="shared" si="18"/>
        <v>3489</v>
      </c>
      <c r="L26" s="12">
        <f t="shared" si="18"/>
        <v>2432</v>
      </c>
      <c r="M26" s="11">
        <f t="shared" si="18"/>
        <v>12050.036549255507</v>
      </c>
      <c r="N26" s="11">
        <f t="shared" si="18"/>
        <v>12423.48345074449</v>
      </c>
      <c r="O26" s="11">
        <f t="shared" si="18"/>
        <v>4124.290000000001</v>
      </c>
      <c r="P26" s="14">
        <f>+M26/K26</f>
        <v>3.453722140801234</v>
      </c>
      <c r="Q26" s="15">
        <f>+N26/L26</f>
        <v>5.108340234681123</v>
      </c>
      <c r="R26" s="15">
        <f>+O26/(K26+L26)</f>
        <v>0.6965529471373081</v>
      </c>
      <c r="S26" s="15">
        <f>+(P26+Q26)/2+R26</f>
        <v>4.977584134878486</v>
      </c>
      <c r="T26" s="9">
        <f>SUM(T8:T25)</f>
        <v>27024.02</v>
      </c>
      <c r="U26" s="9">
        <f>SUM(U8:U25)</f>
        <v>3289.33</v>
      </c>
      <c r="V26" s="12">
        <f>SUM(V8:V25)</f>
        <v>946</v>
      </c>
      <c r="W26" s="12">
        <f>SUM(W8:W25)</f>
        <v>203</v>
      </c>
      <c r="X26" s="12">
        <f>SUM(X8:X25)/18</f>
        <v>19.444444444444443</v>
      </c>
      <c r="Y26" s="12">
        <f aca="true" t="shared" si="19" ref="Y26:AE26">SUM(Y8:Y25)</f>
        <v>1184</v>
      </c>
      <c r="Z26" s="12">
        <f t="shared" si="19"/>
        <v>418</v>
      </c>
      <c r="AA26" s="12">
        <f t="shared" si="19"/>
        <v>16291</v>
      </c>
      <c r="AB26" s="12">
        <f t="shared" si="19"/>
        <v>3342</v>
      </c>
      <c r="AC26" s="11">
        <f t="shared" si="19"/>
        <v>76151.01999999999</v>
      </c>
      <c r="AD26" s="11">
        <f t="shared" si="19"/>
        <v>15581.089999999998</v>
      </c>
      <c r="AE26" s="11">
        <f t="shared" si="19"/>
        <v>19404.14</v>
      </c>
      <c r="AF26" s="14">
        <f>+AC26/AA26</f>
        <v>4.674422687373395</v>
      </c>
      <c r="AG26" s="15">
        <f>+AD26/AB26</f>
        <v>4.6622052663076</v>
      </c>
      <c r="AH26" s="15">
        <f>+AE26/(AA26+AB26)</f>
        <v>0.9883430958080782</v>
      </c>
      <c r="AI26" s="15">
        <f>+(AF26+AG26)/2+AH26</f>
        <v>5.656657072648576</v>
      </c>
      <c r="AJ26" s="9">
        <f>SUM(AJ8:AJ25)</f>
        <v>16730.85</v>
      </c>
      <c r="AK26" s="9">
        <f>SUM(AK8:AK25)</f>
        <v>1834.0700000000002</v>
      </c>
      <c r="AL26" s="12">
        <f>SUM(AL8:AL25)</f>
        <v>947</v>
      </c>
      <c r="AM26" s="12">
        <f>SUM(AM8:AM25)</f>
        <v>208</v>
      </c>
      <c r="AN26" s="12">
        <f>SUM(AN8:AN25)/18</f>
        <v>12.166666666666666</v>
      </c>
      <c r="AO26" s="12">
        <f aca="true" t="shared" si="20" ref="AO26:AU26">SUM(AO8:AO25)</f>
        <v>662</v>
      </c>
      <c r="AP26" s="12">
        <f t="shared" si="20"/>
        <v>454</v>
      </c>
      <c r="AQ26" s="12">
        <f t="shared" si="20"/>
        <v>11821</v>
      </c>
      <c r="AR26" s="12">
        <f t="shared" si="20"/>
        <v>2326</v>
      </c>
      <c r="AS26" s="11">
        <f t="shared" si="20"/>
        <v>63000.05</v>
      </c>
      <c r="AT26" s="11">
        <f t="shared" si="20"/>
        <v>11877.750000000002</v>
      </c>
      <c r="AU26" s="11">
        <f t="shared" si="20"/>
        <v>11891.800000000001</v>
      </c>
      <c r="AV26" s="14">
        <f>+AS26/AQ26</f>
        <v>5.329502580153964</v>
      </c>
      <c r="AW26" s="15">
        <f>+AT26/AR26</f>
        <v>5.106513327601032</v>
      </c>
      <c r="AX26" s="15">
        <f>+AU26/(AQ26+AR26)</f>
        <v>0.8405881105534743</v>
      </c>
      <c r="AY26" s="15">
        <f>+(AV26+AW26)/2+AX26</f>
        <v>6.058596064430972</v>
      </c>
      <c r="AZ26" s="9">
        <f>SUM(AZ8:AZ25)</f>
        <v>23031.97</v>
      </c>
      <c r="BA26" s="9">
        <f>SUM(BA8:BA25)</f>
        <v>1114.8</v>
      </c>
    </row>
    <row r="27" spans="2:51" s="2" customFormat="1" ht="15">
      <c r="B27" s="3"/>
      <c r="C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5"/>
      <c r="S27" s="5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5"/>
      <c r="AI27" s="5"/>
      <c r="AL27" s="3"/>
      <c r="AM27" s="3"/>
      <c r="AN27" s="3"/>
      <c r="AO27" s="3"/>
      <c r="AP27" s="3"/>
      <c r="AQ27" s="3"/>
      <c r="AR27" s="3"/>
      <c r="AS27" s="4"/>
      <c r="AT27" s="4"/>
      <c r="AU27" s="4"/>
      <c r="AV27" s="4"/>
      <c r="AW27" s="4"/>
      <c r="AX27" s="5"/>
      <c r="AY27" s="5"/>
    </row>
    <row r="28" spans="3:49" ht="12.75">
      <c r="C28" s="2" t="s">
        <v>4</v>
      </c>
      <c r="H28" s="1" t="s">
        <v>70</v>
      </c>
      <c r="P28" s="2"/>
      <c r="Q28" s="2"/>
      <c r="X28" s="1" t="s">
        <v>70</v>
      </c>
      <c r="AF28" s="2"/>
      <c r="AG28" s="2"/>
      <c r="AN28" s="1" t="s">
        <v>70</v>
      </c>
      <c r="AV28" s="2"/>
      <c r="AW28" s="2"/>
    </row>
    <row r="30" spans="3:49" ht="12.75">
      <c r="C30" s="2" t="s">
        <v>3</v>
      </c>
      <c r="H30" s="1" t="s">
        <v>39</v>
      </c>
      <c r="P30" s="2"/>
      <c r="Q30" s="2"/>
      <c r="X30" s="1" t="s">
        <v>39</v>
      </c>
      <c r="AF30" s="2"/>
      <c r="AG30" s="2"/>
      <c r="AN30" s="1" t="s">
        <v>78</v>
      </c>
      <c r="AV30" s="2"/>
      <c r="AW30" s="2"/>
    </row>
    <row r="32" ht="12.75">
      <c r="C32" s="37"/>
    </row>
  </sheetData>
  <sheetProtection/>
  <mergeCells count="72">
    <mergeCell ref="D5:D7"/>
    <mergeCell ref="E5:E7"/>
    <mergeCell ref="B5:B7"/>
    <mergeCell ref="C5:C7"/>
    <mergeCell ref="B4:C4"/>
    <mergeCell ref="K5:L5"/>
    <mergeCell ref="K6:K7"/>
    <mergeCell ref="L6:L7"/>
    <mergeCell ref="G6:G7"/>
    <mergeCell ref="H6:H7"/>
    <mergeCell ref="S6:S7"/>
    <mergeCell ref="M6:M7"/>
    <mergeCell ref="N6:N7"/>
    <mergeCell ref="O6:O7"/>
    <mergeCell ref="P6:P7"/>
    <mergeCell ref="Q6:Q7"/>
    <mergeCell ref="R6:R7"/>
    <mergeCell ref="I6:I7"/>
    <mergeCell ref="J6:J7"/>
    <mergeCell ref="B26:C26"/>
    <mergeCell ref="F4:U4"/>
    <mergeCell ref="F5:G5"/>
    <mergeCell ref="I5:J5"/>
    <mergeCell ref="M5:O5"/>
    <mergeCell ref="P5:S5"/>
    <mergeCell ref="T5:T7"/>
    <mergeCell ref="U5:U7"/>
    <mergeCell ref="F6:F7"/>
    <mergeCell ref="V4:AK4"/>
    <mergeCell ref="V5:W5"/>
    <mergeCell ref="Y5:Z5"/>
    <mergeCell ref="AA5:AB5"/>
    <mergeCell ref="AC5:AE5"/>
    <mergeCell ref="AF5:AI5"/>
    <mergeCell ref="AJ5:AJ7"/>
    <mergeCell ref="AK5:AK7"/>
    <mergeCell ref="V6:V7"/>
    <mergeCell ref="W6:W7"/>
    <mergeCell ref="X6:X7"/>
    <mergeCell ref="Y6:Y7"/>
    <mergeCell ref="Z6:Z7"/>
    <mergeCell ref="AA6:AA7"/>
    <mergeCell ref="AB6:AB7"/>
    <mergeCell ref="AI6:AI7"/>
    <mergeCell ref="AC6:AC7"/>
    <mergeCell ref="AD6:AD7"/>
    <mergeCell ref="AE6:AE7"/>
    <mergeCell ref="AF6:AF7"/>
    <mergeCell ref="AG6:AG7"/>
    <mergeCell ref="AH6:AH7"/>
    <mergeCell ref="AQ5:AR5"/>
    <mergeCell ref="AS5:AU5"/>
    <mergeCell ref="AV5:AY5"/>
    <mergeCell ref="AZ5:AZ7"/>
    <mergeCell ref="BA5:BA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L4:BA4"/>
    <mergeCell ref="AL5:AM5"/>
    <mergeCell ref="AO5:AP5"/>
  </mergeCells>
  <printOptions/>
  <pageMargins left="0.33" right="0.2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W16"/>
  <sheetViews>
    <sheetView view="pageBreakPreview" zoomScale="70" zoomScaleSheetLayoutView="70" zoomScalePageLayoutView="0" workbookViewId="0" topLeftCell="B1">
      <selection activeCell="AX1" sqref="AX1:BA16384"/>
    </sheetView>
  </sheetViews>
  <sheetFormatPr defaultColWidth="9.00390625" defaultRowHeight="12.75"/>
  <cols>
    <col min="1" max="1" width="4.875" style="1" hidden="1" customWidth="1"/>
    <col min="2" max="2" width="5.375" style="1" customWidth="1"/>
    <col min="3" max="3" width="29.00390625" style="1" customWidth="1"/>
    <col min="4" max="4" width="11.375" style="1" hidden="1" customWidth="1"/>
    <col min="5" max="5" width="13.625" style="1" hidden="1" customWidth="1"/>
    <col min="6" max="6" width="14.125" style="1" hidden="1" customWidth="1"/>
    <col min="7" max="8" width="9.875" style="1" hidden="1" customWidth="1"/>
    <col min="9" max="10" width="11.00390625" style="1" hidden="1" customWidth="1"/>
    <col min="11" max="11" width="13.625" style="1" hidden="1" customWidth="1"/>
    <col min="12" max="13" width="14.375" style="1" hidden="1" customWidth="1"/>
    <col min="14" max="14" width="11.625" style="1" hidden="1" customWidth="1"/>
    <col min="15" max="15" width="12.875" style="1" hidden="1" customWidth="1"/>
    <col min="16" max="18" width="11.625" style="1" hidden="1" customWidth="1"/>
    <col min="19" max="19" width="12.75390625" style="1" hidden="1" customWidth="1"/>
    <col min="20" max="20" width="13.875" style="1" hidden="1" customWidth="1"/>
    <col min="21" max="22" width="9.875" style="1" hidden="1" customWidth="1"/>
    <col min="23" max="24" width="11.00390625" style="1" hidden="1" customWidth="1"/>
    <col min="25" max="25" width="13.625" style="1" hidden="1" customWidth="1"/>
    <col min="26" max="27" width="14.375" style="1" hidden="1" customWidth="1"/>
    <col min="28" max="28" width="11.625" style="1" hidden="1" customWidth="1"/>
    <col min="29" max="29" width="12.875" style="1" hidden="1" customWidth="1"/>
    <col min="30" max="32" width="11.625" style="1" hidden="1" customWidth="1"/>
    <col min="33" max="33" width="12.75390625" style="1" hidden="1" customWidth="1"/>
    <col min="34" max="34" width="13.875" style="1" hidden="1" customWidth="1"/>
    <col min="35" max="36" width="10.75390625" style="1" customWidth="1"/>
    <col min="37" max="37" width="11.375" style="1" customWidth="1"/>
    <col min="38" max="38" width="11.00390625" style="1" customWidth="1"/>
    <col min="39" max="39" width="13.625" style="1" customWidth="1"/>
    <col min="40" max="41" width="14.375" style="1" customWidth="1"/>
    <col min="42" max="42" width="11.625" style="1" customWidth="1"/>
    <col min="43" max="43" width="12.875" style="1" customWidth="1"/>
    <col min="44" max="46" width="11.625" style="1" customWidth="1"/>
    <col min="47" max="47" width="13.25390625" style="1" customWidth="1"/>
    <col min="48" max="48" width="13.875" style="1" customWidth="1"/>
    <col min="49" max="16384" width="9.125" style="1" customWidth="1"/>
  </cols>
  <sheetData>
    <row r="1" ht="12.75" customHeight="1"/>
    <row r="2" spans="3:4" s="7" customFormat="1" ht="27.75">
      <c r="C2" s="54" t="s">
        <v>66</v>
      </c>
      <c r="D2" s="13"/>
    </row>
    <row r="3" spans="3:4" s="7" customFormat="1" ht="34.5" thickBot="1">
      <c r="C3" s="51"/>
      <c r="D3" s="13"/>
    </row>
    <row r="4" spans="2:48" s="2" customFormat="1" ht="15" customHeight="1" thickBot="1">
      <c r="B4" s="96" t="s">
        <v>0</v>
      </c>
      <c r="C4" s="127" t="s">
        <v>75</v>
      </c>
      <c r="D4" s="114" t="s">
        <v>67</v>
      </c>
      <c r="E4" s="114" t="s">
        <v>68</v>
      </c>
      <c r="F4" s="114" t="s">
        <v>69</v>
      </c>
      <c r="G4" s="112" t="s">
        <v>41</v>
      </c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114" t="s">
        <v>62</v>
      </c>
      <c r="S4" s="114" t="s">
        <v>64</v>
      </c>
      <c r="T4" s="114" t="s">
        <v>63</v>
      </c>
      <c r="U4" s="112" t="s">
        <v>76</v>
      </c>
      <c r="V4" s="112"/>
      <c r="W4" s="112"/>
      <c r="X4" s="112"/>
      <c r="Y4" s="112"/>
      <c r="Z4" s="112"/>
      <c r="AA4" s="112"/>
      <c r="AB4" s="112"/>
      <c r="AC4" s="112"/>
      <c r="AD4" s="112"/>
      <c r="AE4" s="113"/>
      <c r="AF4" s="114" t="s">
        <v>62</v>
      </c>
      <c r="AG4" s="114" t="s">
        <v>64</v>
      </c>
      <c r="AH4" s="114" t="s">
        <v>63</v>
      </c>
      <c r="AI4" s="112" t="s">
        <v>77</v>
      </c>
      <c r="AJ4" s="112"/>
      <c r="AK4" s="112"/>
      <c r="AL4" s="112"/>
      <c r="AM4" s="112"/>
      <c r="AN4" s="112"/>
      <c r="AO4" s="112"/>
      <c r="AP4" s="112"/>
      <c r="AQ4" s="112"/>
      <c r="AR4" s="112"/>
      <c r="AS4" s="113"/>
      <c r="AT4" s="114" t="s">
        <v>62</v>
      </c>
      <c r="AU4" s="114" t="s">
        <v>64</v>
      </c>
      <c r="AV4" s="114" t="s">
        <v>63</v>
      </c>
    </row>
    <row r="5" spans="2:48" ht="12.75" customHeight="1">
      <c r="B5" s="97"/>
      <c r="C5" s="128"/>
      <c r="D5" s="115"/>
      <c r="E5" s="115"/>
      <c r="F5" s="115"/>
      <c r="G5" s="117" t="s">
        <v>29</v>
      </c>
      <c r="H5" s="119" t="s">
        <v>17</v>
      </c>
      <c r="I5" s="121" t="s">
        <v>30</v>
      </c>
      <c r="J5" s="123" t="s">
        <v>28</v>
      </c>
      <c r="K5" s="125" t="s">
        <v>21</v>
      </c>
      <c r="L5" s="125" t="s">
        <v>15</v>
      </c>
      <c r="M5" s="125" t="s">
        <v>61</v>
      </c>
      <c r="N5" s="104" t="s">
        <v>19</v>
      </c>
      <c r="O5" s="106" t="s">
        <v>20</v>
      </c>
      <c r="P5" s="108" t="s">
        <v>27</v>
      </c>
      <c r="Q5" s="110" t="s">
        <v>16</v>
      </c>
      <c r="R5" s="115"/>
      <c r="S5" s="115"/>
      <c r="T5" s="115"/>
      <c r="U5" s="117" t="s">
        <v>29</v>
      </c>
      <c r="V5" s="119" t="s">
        <v>17</v>
      </c>
      <c r="W5" s="121" t="s">
        <v>30</v>
      </c>
      <c r="X5" s="123" t="s">
        <v>28</v>
      </c>
      <c r="Y5" s="125" t="s">
        <v>21</v>
      </c>
      <c r="Z5" s="125" t="s">
        <v>15</v>
      </c>
      <c r="AA5" s="125" t="s">
        <v>61</v>
      </c>
      <c r="AB5" s="104" t="s">
        <v>19</v>
      </c>
      <c r="AC5" s="106" t="s">
        <v>20</v>
      </c>
      <c r="AD5" s="108" t="s">
        <v>27</v>
      </c>
      <c r="AE5" s="110" t="s">
        <v>16</v>
      </c>
      <c r="AF5" s="115"/>
      <c r="AG5" s="115"/>
      <c r="AH5" s="115"/>
      <c r="AI5" s="117" t="s">
        <v>29</v>
      </c>
      <c r="AJ5" s="119" t="s">
        <v>17</v>
      </c>
      <c r="AK5" s="121" t="s">
        <v>30</v>
      </c>
      <c r="AL5" s="123" t="s">
        <v>28</v>
      </c>
      <c r="AM5" s="125" t="s">
        <v>21</v>
      </c>
      <c r="AN5" s="125" t="s">
        <v>15</v>
      </c>
      <c r="AO5" s="125" t="s">
        <v>61</v>
      </c>
      <c r="AP5" s="104" t="s">
        <v>19</v>
      </c>
      <c r="AQ5" s="106" t="s">
        <v>20</v>
      </c>
      <c r="AR5" s="108" t="s">
        <v>27</v>
      </c>
      <c r="AS5" s="110" t="s">
        <v>16</v>
      </c>
      <c r="AT5" s="115"/>
      <c r="AU5" s="115"/>
      <c r="AV5" s="115"/>
    </row>
    <row r="6" spans="2:48" ht="87" customHeight="1" thickBot="1">
      <c r="B6" s="98"/>
      <c r="C6" s="129"/>
      <c r="D6" s="116"/>
      <c r="E6" s="116"/>
      <c r="F6" s="116"/>
      <c r="G6" s="118"/>
      <c r="H6" s="120"/>
      <c r="I6" s="122"/>
      <c r="J6" s="124"/>
      <c r="K6" s="126"/>
      <c r="L6" s="126"/>
      <c r="M6" s="126"/>
      <c r="N6" s="105"/>
      <c r="O6" s="107"/>
      <c r="P6" s="109"/>
      <c r="Q6" s="111"/>
      <c r="R6" s="116"/>
      <c r="S6" s="116"/>
      <c r="T6" s="116"/>
      <c r="U6" s="118"/>
      <c r="V6" s="120"/>
      <c r="W6" s="122"/>
      <c r="X6" s="124"/>
      <c r="Y6" s="126"/>
      <c r="Z6" s="126"/>
      <c r="AA6" s="126"/>
      <c r="AB6" s="105"/>
      <c r="AC6" s="107"/>
      <c r="AD6" s="109"/>
      <c r="AE6" s="111"/>
      <c r="AF6" s="116"/>
      <c r="AG6" s="116"/>
      <c r="AH6" s="116"/>
      <c r="AI6" s="118"/>
      <c r="AJ6" s="120"/>
      <c r="AK6" s="122"/>
      <c r="AL6" s="124"/>
      <c r="AM6" s="126"/>
      <c r="AN6" s="126"/>
      <c r="AO6" s="126"/>
      <c r="AP6" s="105"/>
      <c r="AQ6" s="107"/>
      <c r="AR6" s="109"/>
      <c r="AS6" s="111"/>
      <c r="AT6" s="116"/>
      <c r="AU6" s="116"/>
      <c r="AV6" s="116"/>
    </row>
    <row r="7" spans="2:49" ht="15">
      <c r="B7" s="20" t="s">
        <v>18</v>
      </c>
      <c r="C7" s="21" t="s">
        <v>34</v>
      </c>
      <c r="D7" s="39">
        <v>13.98</v>
      </c>
      <c r="E7" s="40">
        <v>3406.94</v>
      </c>
      <c r="F7" s="46">
        <v>0</v>
      </c>
      <c r="G7" s="8">
        <v>50</v>
      </c>
      <c r="H7" s="8">
        <v>20</v>
      </c>
      <c r="I7" s="8">
        <v>415</v>
      </c>
      <c r="J7" s="8">
        <f>+G7*H7-I7</f>
        <v>585</v>
      </c>
      <c r="K7" s="8">
        <v>757.6</v>
      </c>
      <c r="L7" s="22">
        <v>16.43</v>
      </c>
      <c r="M7" s="22">
        <v>7547.89</v>
      </c>
      <c r="N7" s="23">
        <f>+K7/J7</f>
        <v>1.2950427350427351</v>
      </c>
      <c r="O7" s="23">
        <f>+L7/J7</f>
        <v>0.028085470085470084</v>
      </c>
      <c r="P7" s="23">
        <f>M7/J7</f>
        <v>12.90237606837607</v>
      </c>
      <c r="Q7" s="23">
        <f>+N7+O7+P7</f>
        <v>14.225504273504274</v>
      </c>
      <c r="R7" s="39">
        <v>89.71</v>
      </c>
      <c r="S7" s="40">
        <v>2919.3</v>
      </c>
      <c r="T7" s="40">
        <v>0</v>
      </c>
      <c r="U7" s="8">
        <v>51</v>
      </c>
      <c r="V7" s="8">
        <v>20</v>
      </c>
      <c r="W7" s="8">
        <v>355</v>
      </c>
      <c r="X7" s="8">
        <f>+U7*V7-W7</f>
        <v>665</v>
      </c>
      <c r="Y7" s="8">
        <v>5884.81</v>
      </c>
      <c r="Z7" s="22">
        <v>13.05</v>
      </c>
      <c r="AA7" s="22">
        <v>3807.7</v>
      </c>
      <c r="AB7" s="23">
        <f>+Y7/X7</f>
        <v>8.849338345864663</v>
      </c>
      <c r="AC7" s="23">
        <f>+Z7/X7</f>
        <v>0.01962406015037594</v>
      </c>
      <c r="AD7" s="23">
        <f>AA7/X7</f>
        <v>5.725864661654135</v>
      </c>
      <c r="AE7" s="23">
        <f>+AB7+AC7+AD7</f>
        <v>14.594827067669172</v>
      </c>
      <c r="AF7" s="39">
        <v>3264</v>
      </c>
      <c r="AG7" s="40">
        <v>1044.93</v>
      </c>
      <c r="AH7" s="40">
        <v>0</v>
      </c>
      <c r="AI7" s="8">
        <v>50</v>
      </c>
      <c r="AJ7" s="8">
        <v>21</v>
      </c>
      <c r="AK7" s="8">
        <v>398</v>
      </c>
      <c r="AL7" s="8">
        <f>+AI7*AJ7-AK7</f>
        <v>652</v>
      </c>
      <c r="AM7" s="8">
        <v>9077.56</v>
      </c>
      <c r="AN7" s="22">
        <v>6.3</v>
      </c>
      <c r="AO7" s="22">
        <v>880.18</v>
      </c>
      <c r="AP7" s="23">
        <f>+AM7/AL7</f>
        <v>13.922638036809815</v>
      </c>
      <c r="AQ7" s="23">
        <f>+AN7/AL7</f>
        <v>0.009662576687116564</v>
      </c>
      <c r="AR7" s="23">
        <f>AO7/AL7</f>
        <v>1.3499693251533742</v>
      </c>
      <c r="AS7" s="23">
        <f>+AP7+AQ7+AR7</f>
        <v>15.282269938650305</v>
      </c>
      <c r="AT7" s="39">
        <v>3735.22</v>
      </c>
      <c r="AU7" s="40">
        <v>164.79</v>
      </c>
      <c r="AV7" s="40">
        <v>0</v>
      </c>
      <c r="AW7" s="56"/>
    </row>
    <row r="8" spans="2:49" ht="15">
      <c r="B8" s="24" t="s">
        <v>37</v>
      </c>
      <c r="C8" s="43" t="s">
        <v>35</v>
      </c>
      <c r="D8" s="45">
        <v>2453.2</v>
      </c>
      <c r="E8" s="46">
        <v>0</v>
      </c>
      <c r="F8" s="46">
        <v>0</v>
      </c>
      <c r="G8" s="25">
        <v>19</v>
      </c>
      <c r="H8" s="25">
        <v>11</v>
      </c>
      <c r="I8" s="25">
        <v>132</v>
      </c>
      <c r="J8" s="25">
        <f>+G8*H8-I8</f>
        <v>77</v>
      </c>
      <c r="K8" s="25">
        <v>468.08</v>
      </c>
      <c r="L8" s="26">
        <v>0</v>
      </c>
      <c r="M8" s="25">
        <v>1053.2</v>
      </c>
      <c r="N8" s="44">
        <f>+K8/J8</f>
        <v>6.0789610389610385</v>
      </c>
      <c r="O8" s="44">
        <f>+L8/J8</f>
        <v>0</v>
      </c>
      <c r="P8" s="44">
        <f>M8/J8</f>
        <v>13.677922077922078</v>
      </c>
      <c r="Q8" s="44">
        <f>+N8+O8+P8</f>
        <v>19.756883116883117</v>
      </c>
      <c r="R8" s="45">
        <v>1985.12</v>
      </c>
      <c r="S8" s="46">
        <v>7.11</v>
      </c>
      <c r="T8" s="46">
        <v>0</v>
      </c>
      <c r="U8" s="25">
        <v>17</v>
      </c>
      <c r="V8" s="25">
        <v>20</v>
      </c>
      <c r="W8" s="25">
        <v>202</v>
      </c>
      <c r="X8" s="25">
        <f>+U8*V8-W8</f>
        <v>138</v>
      </c>
      <c r="Y8" s="25">
        <v>656.39</v>
      </c>
      <c r="Z8" s="26">
        <v>544.29</v>
      </c>
      <c r="AA8" s="25">
        <v>0</v>
      </c>
      <c r="AB8" s="44">
        <f>+Y8/X8</f>
        <v>4.756449275362319</v>
      </c>
      <c r="AC8" s="44">
        <f>+Z8/X8</f>
        <v>3.9441304347826085</v>
      </c>
      <c r="AD8" s="44">
        <f>AA8/X8</f>
        <v>0</v>
      </c>
      <c r="AE8" s="44">
        <f>+AB8+AC8+AD8</f>
        <v>8.700579710144927</v>
      </c>
      <c r="AF8" s="45">
        <v>1328.75</v>
      </c>
      <c r="AG8" s="46">
        <v>0</v>
      </c>
      <c r="AH8" s="46">
        <v>0</v>
      </c>
      <c r="AI8" s="25">
        <v>18</v>
      </c>
      <c r="AJ8" s="25">
        <v>16</v>
      </c>
      <c r="AK8" s="25">
        <f>163+9</f>
        <v>172</v>
      </c>
      <c r="AL8" s="25">
        <f>+AI8*AJ8-AK8</f>
        <v>116</v>
      </c>
      <c r="AM8" s="25">
        <v>308.46</v>
      </c>
      <c r="AN8" s="26">
        <v>305.6</v>
      </c>
      <c r="AO8" s="25">
        <v>1398.23</v>
      </c>
      <c r="AP8" s="44">
        <f>+AM8/AL8</f>
        <v>2.6591379310344827</v>
      </c>
      <c r="AQ8" s="44">
        <f>+AN8/AL8</f>
        <v>2.63448275862069</v>
      </c>
      <c r="AR8" s="44">
        <f>AO8/AL8</f>
        <v>12.053706896551724</v>
      </c>
      <c r="AS8" s="44">
        <f>+AP8+AQ8+AR8</f>
        <v>17.347327586206895</v>
      </c>
      <c r="AT8" s="45">
        <v>1020.29</v>
      </c>
      <c r="AU8" s="46">
        <v>493.25</v>
      </c>
      <c r="AV8" s="46">
        <v>1104.59</v>
      </c>
      <c r="AW8" s="56"/>
    </row>
    <row r="9" spans="2:49" ht="15.75" thickBot="1">
      <c r="B9" s="27" t="s">
        <v>38</v>
      </c>
      <c r="C9" s="47" t="s">
        <v>36</v>
      </c>
      <c r="D9" s="41">
        <v>3287.96</v>
      </c>
      <c r="E9" s="42">
        <v>0</v>
      </c>
      <c r="F9" s="46">
        <v>0</v>
      </c>
      <c r="G9" s="28">
        <v>12</v>
      </c>
      <c r="H9" s="28">
        <v>15</v>
      </c>
      <c r="I9" s="28">
        <v>99</v>
      </c>
      <c r="J9" s="28">
        <f>+G9*H9-I9</f>
        <v>81</v>
      </c>
      <c r="K9" s="28">
        <v>1281.09</v>
      </c>
      <c r="L9" s="29">
        <v>35</v>
      </c>
      <c r="M9" s="29">
        <v>0</v>
      </c>
      <c r="N9" s="30">
        <f>+K9/J9</f>
        <v>15.815925925925924</v>
      </c>
      <c r="O9" s="30">
        <f>+L9/J9</f>
        <v>0.43209876543209874</v>
      </c>
      <c r="P9" s="30">
        <f>M9/J9</f>
        <v>0</v>
      </c>
      <c r="Q9" s="30">
        <f>+N9+O9+P9</f>
        <v>16.248024691358022</v>
      </c>
      <c r="R9" s="41">
        <v>2006.87</v>
      </c>
      <c r="S9" s="42">
        <v>0</v>
      </c>
      <c r="T9" s="42">
        <v>0</v>
      </c>
      <c r="U9" s="28">
        <v>12</v>
      </c>
      <c r="V9" s="28">
        <v>20</v>
      </c>
      <c r="W9" s="28">
        <v>156</v>
      </c>
      <c r="X9" s="28">
        <f>+U9*V9-W9</f>
        <v>84</v>
      </c>
      <c r="Y9" s="28">
        <v>803.1</v>
      </c>
      <c r="Z9" s="29">
        <v>0</v>
      </c>
      <c r="AA9" s="29">
        <v>0</v>
      </c>
      <c r="AB9" s="30">
        <f>+Y9/X9</f>
        <v>9.560714285714287</v>
      </c>
      <c r="AC9" s="30">
        <f>+Z9/X9</f>
        <v>0</v>
      </c>
      <c r="AD9" s="30">
        <f>AA9/X9</f>
        <v>0</v>
      </c>
      <c r="AE9" s="30">
        <f>+AB9+AC9+AD9</f>
        <v>9.560714285714287</v>
      </c>
      <c r="AF9" s="41">
        <v>1203.77</v>
      </c>
      <c r="AG9" s="42">
        <v>0</v>
      </c>
      <c r="AH9" s="42">
        <v>0</v>
      </c>
      <c r="AI9" s="28">
        <v>12</v>
      </c>
      <c r="AJ9" s="28">
        <v>11</v>
      </c>
      <c r="AK9" s="28">
        <v>69</v>
      </c>
      <c r="AL9" s="28">
        <f>+AI9*AJ9-AK9</f>
        <v>63</v>
      </c>
      <c r="AM9" s="28">
        <v>415.16</v>
      </c>
      <c r="AN9" s="29">
        <v>0</v>
      </c>
      <c r="AO9" s="29">
        <v>778.94</v>
      </c>
      <c r="AP9" s="30">
        <f>+AM9/AL9</f>
        <v>6.58984126984127</v>
      </c>
      <c r="AQ9" s="30">
        <f>+AN9/AL9</f>
        <v>0</v>
      </c>
      <c r="AR9" s="30">
        <f>AO9/AL9</f>
        <v>12.364126984126985</v>
      </c>
      <c r="AS9" s="30">
        <f>+AP9+AQ9+AR9</f>
        <v>18.953968253968256</v>
      </c>
      <c r="AT9" s="41">
        <v>788.56</v>
      </c>
      <c r="AU9" s="42">
        <v>1169.58</v>
      </c>
      <c r="AV9" s="42">
        <v>0</v>
      </c>
      <c r="AW9" s="56"/>
    </row>
    <row r="10" spans="2:48" s="6" customFormat="1" ht="15.75" thickBot="1">
      <c r="B10" s="94" t="s">
        <v>40</v>
      </c>
      <c r="C10" s="95"/>
      <c r="D10" s="16">
        <f>+D7+D8+D9</f>
        <v>5755.139999999999</v>
      </c>
      <c r="E10" s="16">
        <f>+E7+E8+E9</f>
        <v>3406.94</v>
      </c>
      <c r="F10" s="16">
        <f>+F7+F8+F9</f>
        <v>0</v>
      </c>
      <c r="G10" s="16">
        <f>+G7+G8+G9</f>
        <v>81</v>
      </c>
      <c r="H10" s="12">
        <f>SUM(H7:H9)/3</f>
        <v>15.333333333333334</v>
      </c>
      <c r="I10" s="16">
        <f>+I7+I8+I9</f>
        <v>646</v>
      </c>
      <c r="J10" s="16">
        <f>+J7+J8+J9</f>
        <v>743</v>
      </c>
      <c r="K10" s="16">
        <f>+K7+K8+K9</f>
        <v>2506.77</v>
      </c>
      <c r="L10" s="16">
        <f>+L7+L8+L9</f>
        <v>51.43</v>
      </c>
      <c r="M10" s="16">
        <f>+M7+M8+M9</f>
        <v>8601.09</v>
      </c>
      <c r="N10" s="10">
        <f>+K10/J10</f>
        <v>3.3738492597577387</v>
      </c>
      <c r="O10" s="10">
        <f>+L10/J10</f>
        <v>0.06921938088829072</v>
      </c>
      <c r="P10" s="10">
        <f>M10/J10</f>
        <v>11.576164199192464</v>
      </c>
      <c r="Q10" s="10">
        <f>+N10+O10+P10</f>
        <v>15.019232839838493</v>
      </c>
      <c r="R10" s="16">
        <f>+R7+R8+R9</f>
        <v>4081.7</v>
      </c>
      <c r="S10" s="16">
        <f>+S7+S8+S9</f>
        <v>2926.4100000000003</v>
      </c>
      <c r="T10" s="16">
        <f>+T7+T8+T9</f>
        <v>0</v>
      </c>
      <c r="U10" s="16">
        <f>+U7+U8+U9</f>
        <v>80</v>
      </c>
      <c r="V10" s="12">
        <f>SUM(V7:V9)/3</f>
        <v>20</v>
      </c>
      <c r="W10" s="16">
        <f>+W7+W8+W9</f>
        <v>713</v>
      </c>
      <c r="X10" s="16">
        <f>+X7+X8+X9</f>
        <v>887</v>
      </c>
      <c r="Y10" s="16">
        <f>+Y7+Y8+Y9</f>
        <v>7344.300000000001</v>
      </c>
      <c r="Z10" s="16">
        <f>+Z7+Z8+Z9</f>
        <v>557.3399999999999</v>
      </c>
      <c r="AA10" s="16">
        <f>+AA7+AA8+AA9</f>
        <v>3807.7</v>
      </c>
      <c r="AB10" s="10">
        <f>+Y10/X10</f>
        <v>8.279932356257047</v>
      </c>
      <c r="AC10" s="10">
        <f>+Z10/X10</f>
        <v>0.6283427282976324</v>
      </c>
      <c r="AD10" s="10">
        <f>AA10/X10</f>
        <v>4.292784667418264</v>
      </c>
      <c r="AE10" s="10">
        <f>+AB10+AC10+AD10</f>
        <v>13.201059751972943</v>
      </c>
      <c r="AF10" s="16">
        <f>+AF7+AF8+AF9</f>
        <v>5796.52</v>
      </c>
      <c r="AG10" s="16">
        <f>+AG7+AG8+AG9</f>
        <v>1044.93</v>
      </c>
      <c r="AH10" s="16">
        <f>+AH7+AH8+AH9</f>
        <v>0</v>
      </c>
      <c r="AI10" s="16">
        <f>+AI7+AI8+AI9</f>
        <v>80</v>
      </c>
      <c r="AJ10" s="12">
        <f>SUM(AJ7:AJ9)/3</f>
        <v>16</v>
      </c>
      <c r="AK10" s="16">
        <f>+AK7+AK8+AK9</f>
        <v>639</v>
      </c>
      <c r="AL10" s="16">
        <f>+AL7+AL8+AL9</f>
        <v>831</v>
      </c>
      <c r="AM10" s="16">
        <f>+AM7+AM8+AM9</f>
        <v>9801.179999999998</v>
      </c>
      <c r="AN10" s="16">
        <f>+AN7+AN8+AN9</f>
        <v>311.90000000000003</v>
      </c>
      <c r="AO10" s="16">
        <f>+AO7+AO8+AO9</f>
        <v>3057.35</v>
      </c>
      <c r="AP10" s="10">
        <f>+AM10/AL10</f>
        <v>11.794440433212994</v>
      </c>
      <c r="AQ10" s="10">
        <f>+AN10/AL10</f>
        <v>0.37533092659446454</v>
      </c>
      <c r="AR10" s="10">
        <f>AO10/AL10</f>
        <v>3.679121540312876</v>
      </c>
      <c r="AS10" s="10">
        <f>+AP10+AQ10+AR10</f>
        <v>15.848892900120335</v>
      </c>
      <c r="AT10" s="16">
        <f>+AT7+AT8+AT9</f>
        <v>5544.07</v>
      </c>
      <c r="AU10" s="16">
        <f>+AU7+AU8+AU9</f>
        <v>1827.62</v>
      </c>
      <c r="AV10" s="16">
        <f>+AV7+AV8+AV9</f>
        <v>1104.59</v>
      </c>
    </row>
    <row r="11" spans="2:45" s="2" customFormat="1" ht="15">
      <c r="B11" s="3"/>
      <c r="C11" s="3"/>
      <c r="D11" s="3"/>
      <c r="G11" s="3"/>
      <c r="H11" s="3"/>
      <c r="I11" s="3"/>
      <c r="J11" s="3"/>
      <c r="K11" s="4"/>
      <c r="L11" s="4"/>
      <c r="M11" s="4"/>
      <c r="N11" s="4"/>
      <c r="O11" s="5"/>
      <c r="P11" s="4"/>
      <c r="Q11" s="5"/>
      <c r="U11" s="3"/>
      <c r="V11" s="3"/>
      <c r="W11" s="3"/>
      <c r="X11" s="3"/>
      <c r="Y11" s="4"/>
      <c r="Z11" s="4"/>
      <c r="AA11" s="4"/>
      <c r="AB11" s="4"/>
      <c r="AC11" s="5"/>
      <c r="AD11" s="4"/>
      <c r="AE11" s="5"/>
      <c r="AI11" s="3"/>
      <c r="AJ11" s="3"/>
      <c r="AK11" s="3"/>
      <c r="AL11" s="3"/>
      <c r="AM11" s="4"/>
      <c r="AN11" s="4"/>
      <c r="AO11" s="4"/>
      <c r="AP11" s="4"/>
      <c r="AQ11" s="5"/>
      <c r="AR11" s="4"/>
      <c r="AS11" s="5"/>
    </row>
    <row r="12" spans="3:44" ht="12.75">
      <c r="C12" s="2" t="s">
        <v>4</v>
      </c>
      <c r="D12" s="2"/>
      <c r="H12" s="2" t="s">
        <v>70</v>
      </c>
      <c r="N12" s="2"/>
      <c r="P12" s="2"/>
      <c r="V12" s="2" t="s">
        <v>70</v>
      </c>
      <c r="AB12" s="2"/>
      <c r="AD12" s="2"/>
      <c r="AJ12" s="2" t="s">
        <v>70</v>
      </c>
      <c r="AP12" s="2"/>
      <c r="AR12" s="2"/>
    </row>
    <row r="14" spans="3:44" ht="12.75">
      <c r="C14" s="2" t="s">
        <v>3</v>
      </c>
      <c r="D14" s="2"/>
      <c r="H14" s="2" t="s">
        <v>14</v>
      </c>
      <c r="N14" s="2"/>
      <c r="P14" s="2"/>
      <c r="V14" s="2" t="s">
        <v>14</v>
      </c>
      <c r="AB14" s="2"/>
      <c r="AD14" s="2"/>
      <c r="AJ14" s="2" t="s">
        <v>78</v>
      </c>
      <c r="AP14" s="2"/>
      <c r="AR14" s="2"/>
    </row>
    <row r="16" spans="3:6" ht="12.75">
      <c r="C16" s="37"/>
      <c r="D16" s="17"/>
      <c r="E16" s="17"/>
      <c r="F16" s="17"/>
    </row>
  </sheetData>
  <sheetProtection/>
  <mergeCells count="51">
    <mergeCell ref="F4:F6"/>
    <mergeCell ref="M5:M6"/>
    <mergeCell ref="E4:E6"/>
    <mergeCell ref="R4:R6"/>
    <mergeCell ref="S4:S6"/>
    <mergeCell ref="T4:T6"/>
    <mergeCell ref="G5:G6"/>
    <mergeCell ref="H5:H6"/>
    <mergeCell ref="I5:I6"/>
    <mergeCell ref="J5:J6"/>
    <mergeCell ref="K5:K6"/>
    <mergeCell ref="L5:L6"/>
    <mergeCell ref="B4:B6"/>
    <mergeCell ref="C4:C6"/>
    <mergeCell ref="B10:C10"/>
    <mergeCell ref="D4:D6"/>
    <mergeCell ref="G4:Q4"/>
    <mergeCell ref="N5:N6"/>
    <mergeCell ref="O5:O6"/>
    <mergeCell ref="P5:P6"/>
    <mergeCell ref="Q5:Q6"/>
    <mergeCell ref="U4:AE4"/>
    <mergeCell ref="AF4:AF6"/>
    <mergeCell ref="AG4:AG6"/>
    <mergeCell ref="AH4:AH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T4:AT6"/>
    <mergeCell ref="AU4:AU6"/>
    <mergeCell ref="AV4:AV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I4:AS4"/>
  </mergeCells>
  <printOptions/>
  <pageMargins left="0.33" right="0.2" top="1" bottom="1" header="0.5" footer="0.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2015-04-03T08:00:30Z</cp:lastPrinted>
  <dcterms:created xsi:type="dcterms:W3CDTF">2008-05-28T10:43:10Z</dcterms:created>
  <dcterms:modified xsi:type="dcterms:W3CDTF">2015-04-09T12:58:17Z</dcterms:modified>
  <cp:category/>
  <cp:version/>
  <cp:contentType/>
  <cp:contentStatus/>
</cp:coreProperties>
</file>